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/>
  <mc:AlternateContent xmlns:mc="http://schemas.openxmlformats.org/markup-compatibility/2006">
    <mc:Choice Requires="x15">
      <x15ac:absPath xmlns:x15ac="http://schemas.microsoft.com/office/spreadsheetml/2010/11/ac" url="R:\DGD-PCE\DSUED\EMA\Caroline CANN 2024\Contenu SITE ECO\4_Données\1_Données en ligne\1.1_Tarification de l'eau\1.1.2_Redevances\"/>
    </mc:Choice>
  </mc:AlternateContent>
  <xr:revisionPtr revIDLastSave="0" documentId="13_ncr:1_{14FB5DFC-BA02-4FAD-A07F-564AEBAE0BD7}" xr6:coauthVersionLast="36" xr6:coauthVersionMax="36" xr10:uidLastSave="{00000000-0000-0000-0000-000000000000}"/>
  <bookViews>
    <workbookView xWindow="8505" yWindow="330" windowWidth="11985" windowHeight="7350" xr2:uid="{00000000-000D-0000-FFFF-FFFF00000000}"/>
  </bookViews>
  <sheets>
    <sheet name="Métadonnées" sheetId="4" r:id="rId1"/>
    <sheet name="Avertissement" sheetId="3" r:id="rId2"/>
    <sheet name="Répartition redevances - Agence" sheetId="2" r:id="rId3"/>
    <sheet name="Répartition redevances - Office" sheetId="5" r:id="rId4"/>
  </sheets>
  <calcPr calcId="191029"/>
</workbook>
</file>

<file path=xl/calcChain.xml><?xml version="1.0" encoding="utf-8"?>
<calcChain xmlns="http://schemas.openxmlformats.org/spreadsheetml/2006/main">
  <c r="H54" i="5" l="1"/>
  <c r="D54" i="5"/>
  <c r="F54" i="5"/>
  <c r="E54" i="5"/>
  <c r="C54" i="5"/>
  <c r="F55" i="5"/>
  <c r="D55" i="5"/>
  <c r="C55" i="5"/>
  <c r="D51" i="5"/>
  <c r="E51" i="5"/>
  <c r="F51" i="5"/>
  <c r="G51" i="5"/>
  <c r="C51" i="5"/>
  <c r="K12" i="5" l="1"/>
  <c r="G50" i="5" l="1"/>
  <c r="F50" i="5"/>
  <c r="E50" i="5"/>
  <c r="D50" i="5"/>
  <c r="C50" i="5"/>
  <c r="G49" i="5"/>
  <c r="F49" i="5"/>
  <c r="E49" i="5"/>
  <c r="C49" i="5"/>
  <c r="D49" i="5"/>
  <c r="C23" i="5" l="1"/>
  <c r="G23" i="5"/>
  <c r="F23" i="5"/>
  <c r="E23" i="5"/>
  <c r="D23" i="5"/>
  <c r="H23" i="5"/>
  <c r="C22" i="5"/>
  <c r="D22" i="5"/>
  <c r="E22" i="5"/>
  <c r="F22" i="5"/>
  <c r="G22" i="5"/>
  <c r="H22" i="5"/>
  <c r="H21" i="5"/>
  <c r="G21" i="5"/>
  <c r="F21" i="5"/>
  <c r="E21" i="5"/>
  <c r="D21" i="5"/>
  <c r="C21" i="5"/>
  <c r="D20" i="5"/>
  <c r="H20" i="5"/>
  <c r="E20" i="5"/>
  <c r="F20" i="5"/>
  <c r="G20" i="5"/>
  <c r="C20" i="5"/>
  <c r="C8" i="5"/>
  <c r="D8" i="5"/>
  <c r="E8" i="5"/>
  <c r="F8" i="5"/>
  <c r="G8" i="5"/>
  <c r="H8" i="5"/>
  <c r="I8" i="5"/>
  <c r="J8" i="5"/>
  <c r="C7" i="5"/>
  <c r="G5" i="5"/>
  <c r="H5" i="5"/>
  <c r="I5" i="5"/>
  <c r="I6" i="5"/>
  <c r="J5" i="5"/>
  <c r="J4" i="5"/>
  <c r="I4" i="5"/>
  <c r="H4" i="5"/>
  <c r="C4" i="5"/>
  <c r="C6" i="5"/>
  <c r="J7" i="5" l="1"/>
  <c r="I7" i="5"/>
  <c r="H7" i="5"/>
  <c r="G7" i="5"/>
  <c r="F7" i="5"/>
  <c r="E7" i="5"/>
  <c r="D7" i="5"/>
  <c r="J6" i="5"/>
  <c r="H6" i="5"/>
  <c r="G6" i="5"/>
  <c r="F6" i="5"/>
  <c r="E6" i="5"/>
  <c r="D6" i="5"/>
  <c r="F5" i="5"/>
  <c r="E5" i="5"/>
  <c r="D5" i="5"/>
  <c r="C5" i="5"/>
  <c r="G4" i="5"/>
  <c r="F4" i="5"/>
  <c r="E4" i="5"/>
  <c r="D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CANN Caroline</author>
  </authors>
  <commentList>
    <comment ref="B55" authorId="0" shapeId="0" xr:uid="{5E9DA6EC-457E-44AB-8E22-4B3906551062}">
      <text>
        <r>
          <rPr>
            <b/>
            <sz val="9"/>
            <color indexed="81"/>
            <rFont val="Tahoma"/>
            <charset val="1"/>
          </rPr>
          <t>CANN Caroline:</t>
        </r>
        <r>
          <rPr>
            <sz val="9"/>
            <color indexed="81"/>
            <rFont val="Tahoma"/>
            <charset val="1"/>
          </rPr>
          <t xml:space="preserve">
Données en proveance uniquement de la facture d'eau et d'assainissement domestique</t>
        </r>
      </text>
    </comment>
  </commentList>
</comments>
</file>

<file path=xl/sharedStrings.xml><?xml version="1.0" encoding="utf-8"?>
<sst xmlns="http://schemas.openxmlformats.org/spreadsheetml/2006/main" count="178" uniqueCount="80">
  <si>
    <t>Part que représente la redevance … dans le montant total des redevances collectées</t>
  </si>
  <si>
    <t>redevance de pollution payée par les industriels et les activités économiques concernées</t>
  </si>
  <si>
    <t>redevance de pollution payée par les éleveurs</t>
  </si>
  <si>
    <t>redevance pour la protection du milieu aquatique</t>
  </si>
  <si>
    <t>redevance de prélèvement sur la ressource en eau payée par les collectivités</t>
  </si>
  <si>
    <t>redevance de pollution diffuse payée par les distributeurs de produits phytosanitaires</t>
  </si>
  <si>
    <t>Rhin-Meuse</t>
  </si>
  <si>
    <t>Seine-Normandie</t>
  </si>
  <si>
    <t>Artois-Picardie</t>
  </si>
  <si>
    <t>redevance de pollution payée par les industriels</t>
  </si>
  <si>
    <t>redevance de prélèvement sur la ressource en eau payée par les usagers domestiques</t>
  </si>
  <si>
    <t>redevance de prélèvement sur la ressource en eau payée par les îndistriels et les installations hydro elec</t>
  </si>
  <si>
    <t>prélévement de la ressource en eau par les irrigants</t>
  </si>
  <si>
    <t>Adour-Garonne</t>
  </si>
  <si>
    <t>… et de prélèvement de la ressource en eau</t>
  </si>
  <si>
    <t>Rhône-Méditerranée-Corse</t>
  </si>
  <si>
    <t xml:space="preserve"> - </t>
  </si>
  <si>
    <t>… hors irrigation</t>
  </si>
  <si>
    <t>Loire-Bretagne</t>
  </si>
  <si>
    <t>pour la protection des milieux aquatiques</t>
  </si>
  <si>
    <t>pour obstacle sur cours d'eau</t>
  </si>
  <si>
    <t>pour pollution de l'eau d'origine domestique</t>
  </si>
  <si>
    <t>pour modernisation des réseaux - eau domestique et non domestique</t>
  </si>
  <si>
    <t>pour pollution de l'eau liée aux activités d'élevage</t>
  </si>
  <si>
    <t>Total</t>
  </si>
  <si>
    <t>La Réunion</t>
  </si>
  <si>
    <t>Avertissement</t>
  </si>
  <si>
    <t xml:space="preserve">Contenus du fichier </t>
  </si>
  <si>
    <t xml:space="preserve">Ce fichier contient : </t>
  </si>
  <si>
    <r>
      <t xml:space="preserve"> - un onglet </t>
    </r>
    <r>
      <rPr>
        <b/>
        <sz val="10"/>
        <color indexed="8"/>
        <rFont val="Arial"/>
        <family val="2"/>
      </rPr>
      <t>"Métadonnées"</t>
    </r>
  </si>
  <si>
    <r>
      <t xml:space="preserve">- le présent onglet </t>
    </r>
    <r>
      <rPr>
        <b/>
        <sz val="10"/>
        <color indexed="8"/>
        <rFont val="Arial"/>
        <family val="2"/>
      </rPr>
      <t>"Avertissement"</t>
    </r>
  </si>
  <si>
    <t>Réutilisation de la donnée</t>
  </si>
  <si>
    <t xml:space="preserve">Les données présentées ici sont issues de www.economie.eaufrance.fr
</t>
  </si>
  <si>
    <t>Leur réutilisation est soumise aux conditions de la licence ouverte :</t>
  </si>
  <si>
    <t>http://www.etalab.gouv.fr/licence-ouverte-open-licence</t>
  </si>
  <si>
    <t>Producteur du jeu de données</t>
  </si>
  <si>
    <t xml:space="preserve">Source </t>
  </si>
  <si>
    <t>Description du jeu des données</t>
  </si>
  <si>
    <t>Langue du jeu de données</t>
  </si>
  <si>
    <t>Française</t>
  </si>
  <si>
    <t>Fréquence de mise à jour</t>
  </si>
  <si>
    <t>Date du jeu de données</t>
  </si>
  <si>
    <r>
      <t>- un onglet</t>
    </r>
    <r>
      <rPr>
        <b/>
        <sz val="10"/>
        <color indexed="8"/>
        <rFont val="Arial"/>
        <family val="2"/>
      </rPr>
      <t xml:space="preserve"> "Répartition redevances - Agence" </t>
    </r>
    <r>
      <rPr>
        <sz val="10"/>
        <color indexed="8"/>
        <rFont val="Arial"/>
        <family val="2"/>
      </rPr>
      <t>(jeu de données pour les agences de l'eau)</t>
    </r>
  </si>
  <si>
    <r>
      <t>- un onglet</t>
    </r>
    <r>
      <rPr>
        <b/>
        <sz val="10"/>
        <color indexed="8"/>
        <rFont val="Arial"/>
        <family val="2"/>
      </rPr>
      <t xml:space="preserve"> "Répartition redevances - Office" </t>
    </r>
    <r>
      <rPr>
        <sz val="10"/>
        <color indexed="8"/>
        <rFont val="Arial"/>
        <family val="2"/>
      </rPr>
      <t>(jeu de données pour les offices de l'eau quand la donnée est disponible)</t>
    </r>
  </si>
  <si>
    <t>Données collectées à partir des notes d'information des agences de l'eau dans le cadre du rapport annuel du maire sur le prix et la qualité du service plublique de l'eau et de l'assainissement.</t>
  </si>
  <si>
    <t>Année considérée</t>
  </si>
  <si>
    <t>Les données permettent de voir comment s'organise le prélévement des redevances en fonction des différents postes mobilisés selon les agences de l'eau ou office considérés.</t>
  </si>
  <si>
    <t>Annuelle</t>
  </si>
  <si>
    <t xml:space="preserve">Légende additionnelle </t>
  </si>
  <si>
    <t>Code couleur :</t>
  </si>
  <si>
    <t xml:space="preserve">- </t>
  </si>
  <si>
    <r>
      <t xml:space="preserve">redevance de prélèvement sur la ressource en eau payée par les activités économiques </t>
    </r>
    <r>
      <rPr>
        <sz val="10"/>
        <color theme="1"/>
        <rFont val="Calibri"/>
        <family val="2"/>
        <scheme val="minor"/>
      </rPr>
      <t>(dont les irrigants si case spécifique (J) non remplie)</t>
    </r>
  </si>
  <si>
    <t>-</t>
  </si>
  <si>
    <t>redevance de pollution et de prélevement de la ressource en eau payées par les irrigants et les éleveurs</t>
  </si>
  <si>
    <t>Martinique</t>
  </si>
  <si>
    <t>pour modernisation des réseaux</t>
  </si>
  <si>
    <t>pour pollution domestique payée par les abonnées</t>
  </si>
  <si>
    <t>pour pollution diffuses payée par les distributeurs de produits phytosanitaires</t>
  </si>
  <si>
    <t>Guadeloupe</t>
  </si>
  <si>
    <t xml:space="preserve">pour modernisation des réseaux </t>
  </si>
  <si>
    <t>pour pollutions diffuses</t>
  </si>
  <si>
    <t>pour pollution</t>
  </si>
  <si>
    <t xml:space="preserve">pour pollutions diffuses </t>
  </si>
  <si>
    <t xml:space="preserve">pour prélèvement de la ressource en eau </t>
  </si>
  <si>
    <t>pour prélèvement de la ressource en eau</t>
  </si>
  <si>
    <t>pour prélèvement de la ressource en eau payée par les collectivités</t>
  </si>
  <si>
    <t>pour prélèvement de la ressource en eau payée par les activités économiques</t>
  </si>
  <si>
    <t>pour prélèvement de la ressource en eau payée par les irrigants</t>
  </si>
  <si>
    <t>pour pollution de l'eau d'origine non domestique</t>
  </si>
  <si>
    <t>Guyane</t>
  </si>
  <si>
    <t>pour pollution de l'eau (domestique)</t>
  </si>
  <si>
    <t>pour pollution non diffuse</t>
  </si>
  <si>
    <t>redevance de pollution domestique payée par les abonnés</t>
  </si>
  <si>
    <t>redevance de pollution payée par les irrigants et les éleveurs</t>
  </si>
  <si>
    <t>redevance cynégétique</t>
  </si>
  <si>
    <t>OFB/DAPP/DSOD/SCEE</t>
  </si>
  <si>
    <t>redevances pour la protection du milieu aquatique et cynégétique</t>
  </si>
  <si>
    <t>n.r.</t>
  </si>
  <si>
    <t>Répartition des redevances des agences et offices de l'eau entre 2012 et 2023</t>
  </si>
  <si>
    <t>2012 - 2023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</si>
</sst>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0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sz val="9"/>
      <color theme="1"/>
      <name val="DejaVu Serif"/>
      <family val="1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rgb="FF0000FF"/>
      <name val="Calibri"/>
      <family val="2"/>
    </font>
    <font>
      <u/>
      <sz val="8"/>
      <color rgb="FF0000FF"/>
      <name val="DejaVu Serif"/>
      <family val="1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</cellStyleXfs>
  <cellXfs count="166">
    <xf numFmtId="0" fontId="0" fillId="0" borderId="0" xfId="0"/>
    <xf numFmtId="0" fontId="0" fillId="0" borderId="0" xfId="0" applyBorder="1"/>
    <xf numFmtId="10" fontId="0" fillId="0" borderId="0" xfId="0" applyNumberFormat="1" applyBorder="1"/>
    <xf numFmtId="10" fontId="0" fillId="0" borderId="2" xfId="3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3" fontId="0" fillId="0" borderId="0" xfId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4" fontId="0" fillId="0" borderId="0" xfId="2" applyFont="1" applyFill="1" applyBorder="1" applyAlignment="1">
      <alignment horizontal="center" vertical="center"/>
    </xf>
    <xf numFmtId="0" fontId="0" fillId="0" borderId="0" xfId="0" applyFill="1" applyBorder="1"/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0" fillId="4" borderId="0" xfId="0" applyFill="1"/>
    <xf numFmtId="0" fontId="5" fillId="4" borderId="0" xfId="0" applyFont="1" applyFill="1"/>
    <xf numFmtId="0" fontId="0" fillId="5" borderId="0" xfId="0" applyFill="1"/>
    <xf numFmtId="0" fontId="6" fillId="6" borderId="0" xfId="0" applyFont="1" applyFill="1" applyAlignment="1">
      <alignment vertical="top"/>
    </xf>
    <xf numFmtId="0" fontId="7" fillId="5" borderId="0" xfId="0" applyFont="1" applyFill="1"/>
    <xf numFmtId="0" fontId="5" fillId="5" borderId="0" xfId="0" applyFont="1" applyFill="1"/>
    <xf numFmtId="0" fontId="7" fillId="5" borderId="0" xfId="0" quotePrefix="1" applyFont="1" applyFill="1"/>
    <xf numFmtId="17" fontId="7" fillId="5" borderId="0" xfId="0" applyNumberFormat="1" applyFont="1" applyFill="1" applyAlignment="1">
      <alignment horizontal="left"/>
    </xf>
    <xf numFmtId="0" fontId="7" fillId="5" borderId="0" xfId="0" applyFont="1" applyFill="1" applyAlignment="1"/>
    <xf numFmtId="0" fontId="11" fillId="5" borderId="0" xfId="4" applyFont="1" applyFill="1" applyAlignment="1"/>
    <xf numFmtId="0" fontId="2" fillId="7" borderId="0" xfId="0" applyFont="1" applyFill="1"/>
    <xf numFmtId="0" fontId="0" fillId="5" borderId="0" xfId="0" applyFont="1" applyFill="1"/>
    <xf numFmtId="0" fontId="0" fillId="7" borderId="0" xfId="0" applyFont="1" applyFill="1"/>
    <xf numFmtId="0" fontId="12" fillId="5" borderId="0" xfId="0" applyFont="1" applyFill="1"/>
    <xf numFmtId="0" fontId="13" fillId="5" borderId="0" xfId="0" applyFont="1" applyFill="1"/>
    <xf numFmtId="0" fontId="2" fillId="8" borderId="0" xfId="0" applyFont="1" applyFill="1"/>
    <xf numFmtId="0" fontId="0" fillId="8" borderId="0" xfId="0" applyFont="1" applyFill="1"/>
    <xf numFmtId="0" fontId="7" fillId="0" borderId="0" xfId="0" applyFont="1"/>
    <xf numFmtId="0" fontId="5" fillId="7" borderId="0" xfId="0" applyFont="1" applyFill="1"/>
    <xf numFmtId="0" fontId="5" fillId="8" borderId="0" xfId="0" applyFont="1" applyFill="1"/>
    <xf numFmtId="0" fontId="7" fillId="5" borderId="0" xfId="0" applyFont="1" applyFill="1" applyAlignment="1">
      <alignment horizontal="left"/>
    </xf>
    <xf numFmtId="10" fontId="0" fillId="0" borderId="0" xfId="3" applyNumberFormat="1" applyFont="1" applyBorder="1" applyAlignment="1">
      <alignment horizontal="center"/>
    </xf>
    <xf numFmtId="10" fontId="0" fillId="0" borderId="2" xfId="3" applyNumberFormat="1" applyFont="1" applyFill="1" applyBorder="1" applyAlignment="1">
      <alignment horizontal="center"/>
    </xf>
    <xf numFmtId="0" fontId="18" fillId="5" borderId="0" xfId="0" applyFont="1" applyFill="1"/>
    <xf numFmtId="0" fontId="0" fillId="0" borderId="0" xfId="0" applyBorder="1" applyAlignment="1">
      <alignment horizontal="center" vertical="center" wrapText="1"/>
    </xf>
    <xf numFmtId="10" fontId="0" fillId="0" borderId="0" xfId="3" applyNumberFormat="1" applyFont="1" applyFill="1" applyBorder="1" applyAlignment="1">
      <alignment horizontal="center" vertical="center"/>
    </xf>
    <xf numFmtId="10" fontId="0" fillId="0" borderId="0" xfId="3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0" fontId="0" fillId="2" borderId="0" xfId="3" applyNumberFormat="1" applyFont="1" applyFill="1" applyBorder="1" applyAlignment="1">
      <alignment horizontal="center"/>
    </xf>
    <xf numFmtId="0" fontId="17" fillId="2" borderId="0" xfId="0" applyFont="1" applyFill="1"/>
    <xf numFmtId="10" fontId="0" fillId="0" borderId="0" xfId="0" applyNumberFormat="1" applyBorder="1" applyAlignment="1">
      <alignment horizontal="center" vertical="center"/>
    </xf>
    <xf numFmtId="10" fontId="0" fillId="0" borderId="0" xfId="0" applyNumberForma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15" fillId="9" borderId="3" xfId="0" applyFont="1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0" fillId="0" borderId="7" xfId="3" applyNumberFormat="1" applyFont="1" applyBorder="1" applyAlignment="1">
      <alignment horizontal="center"/>
    </xf>
    <xf numFmtId="0" fontId="0" fillId="0" borderId="2" xfId="0" quotePrefix="1" applyBorder="1" applyAlignment="1">
      <alignment horizontal="center"/>
    </xf>
    <xf numFmtId="10" fontId="0" fillId="9" borderId="4" xfId="3" applyNumberFormat="1" applyFont="1" applyFill="1" applyBorder="1" applyAlignment="1">
      <alignment horizontal="center" vertical="center" wrapText="1"/>
    </xf>
    <xf numFmtId="10" fontId="0" fillId="9" borderId="4" xfId="3" applyNumberFormat="1" applyFont="1" applyFill="1" applyBorder="1" applyAlignment="1">
      <alignment horizontal="center" vertical="center"/>
    </xf>
    <xf numFmtId="10" fontId="0" fillId="9" borderId="4" xfId="3" applyNumberFormat="1" applyFont="1" applyFill="1" applyBorder="1"/>
    <xf numFmtId="0" fontId="15" fillId="9" borderId="3" xfId="0" applyFont="1" applyFill="1" applyBorder="1" applyAlignment="1">
      <alignment horizontal="center" vertical="center" wrapText="1"/>
    </xf>
    <xf numFmtId="0" fontId="0" fillId="9" borderId="5" xfId="0" applyFill="1" applyBorder="1" applyAlignment="1">
      <alignment wrapText="1"/>
    </xf>
    <xf numFmtId="10" fontId="0" fillId="9" borderId="4" xfId="3" applyNumberFormat="1" applyFont="1" applyFill="1" applyBorder="1" applyAlignment="1">
      <alignment horizontal="center"/>
    </xf>
    <xf numFmtId="9" fontId="0" fillId="9" borderId="4" xfId="3" applyFont="1" applyFill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0" fontId="0" fillId="5" borderId="5" xfId="0" applyFill="1" applyBorder="1" applyAlignment="1">
      <alignment horizontal="center" vertical="center" wrapText="1"/>
    </xf>
    <xf numFmtId="0" fontId="0" fillId="9" borderId="5" xfId="0" applyFill="1" applyBorder="1"/>
    <xf numFmtId="10" fontId="0" fillId="0" borderId="0" xfId="3" quotePrefix="1" applyNumberFormat="1" applyFont="1" applyBorder="1" applyAlignment="1">
      <alignment horizontal="center"/>
    </xf>
    <xf numFmtId="10" fontId="0" fillId="0" borderId="2" xfId="0" applyNumberFormat="1" applyFill="1" applyBorder="1" applyAlignment="1">
      <alignment horizontal="center"/>
    </xf>
    <xf numFmtId="10" fontId="0" fillId="0" borderId="8" xfId="0" applyNumberFormat="1" applyBorder="1" applyAlignment="1">
      <alignment horizontal="center"/>
    </xf>
    <xf numFmtId="10" fontId="0" fillId="0" borderId="2" xfId="0" quotePrefix="1" applyNumberFormat="1" applyBorder="1" applyAlignment="1">
      <alignment horizontal="center"/>
    </xf>
    <xf numFmtId="10" fontId="0" fillId="0" borderId="7" xfId="0" applyNumberFormat="1" applyBorder="1" applyAlignment="1">
      <alignment horizontal="center" vertical="center"/>
    </xf>
    <xf numFmtId="10" fontId="0" fillId="0" borderId="7" xfId="0" applyNumberFormat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9" fontId="0" fillId="0" borderId="0" xfId="3" applyFont="1" applyFill="1" applyBorder="1" applyAlignment="1">
      <alignment horizontal="center" vertical="center"/>
    </xf>
    <xf numFmtId="164" fontId="0" fillId="0" borderId="0" xfId="3" applyNumberFormat="1" applyFont="1" applyFill="1" applyBorder="1" applyAlignment="1">
      <alignment horizontal="center" vertical="center"/>
    </xf>
    <xf numFmtId="10" fontId="0" fillId="0" borderId="0" xfId="0" applyNumberFormat="1" applyFill="1" applyBorder="1" applyAlignment="1">
      <alignment horizontal="center" vertical="center"/>
    </xf>
    <xf numFmtId="44" fontId="0" fillId="0" borderId="0" xfId="0" applyNumberFormat="1" applyBorder="1"/>
    <xf numFmtId="44" fontId="0" fillId="9" borderId="5" xfId="0" applyNumberFormat="1" applyFill="1" applyBorder="1" applyAlignment="1">
      <alignment horizontal="center" vertical="center" wrapText="1"/>
    </xf>
    <xf numFmtId="10" fontId="0" fillId="0" borderId="0" xfId="3" applyNumberFormat="1" applyFont="1" applyBorder="1"/>
    <xf numFmtId="0" fontId="0" fillId="0" borderId="6" xfId="1" applyNumberFormat="1" applyFont="1" applyBorder="1" applyAlignment="1">
      <alignment horizontal="center" vertical="center"/>
    </xf>
    <xf numFmtId="44" fontId="0" fillId="0" borderId="2" xfId="2" applyNumberFormat="1" applyFont="1" applyBorder="1" applyAlignment="1">
      <alignment horizontal="center" vertical="center"/>
    </xf>
    <xf numFmtId="0" fontId="0" fillId="0" borderId="6" xfId="1" applyNumberFormat="1" applyFont="1" applyFill="1" applyBorder="1" applyAlignment="1">
      <alignment horizontal="center" vertical="center"/>
    </xf>
    <xf numFmtId="44" fontId="0" fillId="0" borderId="2" xfId="0" applyNumberFormat="1" applyFill="1" applyBorder="1" applyAlignment="1">
      <alignment horizontal="center" vertical="center"/>
    </xf>
    <xf numFmtId="0" fontId="0" fillId="0" borderId="1" xfId="1" applyNumberFormat="1" applyFont="1" applyFill="1" applyBorder="1" applyAlignment="1">
      <alignment horizontal="center" vertical="center"/>
    </xf>
    <xf numFmtId="10" fontId="0" fillId="0" borderId="7" xfId="0" applyNumberFormat="1" applyFill="1" applyBorder="1" applyAlignment="1">
      <alignment horizontal="center"/>
    </xf>
    <xf numFmtId="10" fontId="0" fillId="0" borderId="7" xfId="3" applyNumberFormat="1" applyFont="1" applyFill="1" applyBorder="1" applyAlignment="1">
      <alignment horizontal="center"/>
    </xf>
    <xf numFmtId="44" fontId="0" fillId="0" borderId="8" xfId="0" applyNumberFormat="1" applyBorder="1" applyAlignment="1">
      <alignment horizontal="center"/>
    </xf>
    <xf numFmtId="0" fontId="0" fillId="0" borderId="3" xfId="0" applyFill="1" applyBorder="1" applyAlignment="1">
      <alignment horizontal="center" vertical="center" wrapText="1"/>
    </xf>
    <xf numFmtId="44" fontId="0" fillId="0" borderId="5" xfId="0" applyNumberFormat="1" applyFill="1" applyBorder="1" applyAlignment="1">
      <alignment horizontal="center" vertical="center" wrapText="1"/>
    </xf>
    <xf numFmtId="0" fontId="0" fillId="0" borderId="9" xfId="1" applyNumberFormat="1" applyFont="1" applyBorder="1" applyAlignment="1">
      <alignment horizontal="center" vertical="center"/>
    </xf>
    <xf numFmtId="10" fontId="0" fillId="0" borderId="10" xfId="0" applyNumberFormat="1" applyBorder="1" applyAlignment="1">
      <alignment horizontal="center"/>
    </xf>
    <xf numFmtId="10" fontId="0" fillId="0" borderId="10" xfId="3" applyNumberFormat="1" applyFont="1" applyBorder="1" applyAlignment="1">
      <alignment horizontal="center" vertical="center"/>
    </xf>
    <xf numFmtId="44" fontId="0" fillId="0" borderId="11" xfId="0" applyNumberFormat="1" applyBorder="1"/>
    <xf numFmtId="44" fontId="0" fillId="0" borderId="2" xfId="0" applyNumberFormat="1" applyBorder="1"/>
    <xf numFmtId="44" fontId="0" fillId="0" borderId="8" xfId="0" applyNumberFormat="1" applyBorder="1"/>
    <xf numFmtId="0" fontId="0" fillId="0" borderId="5" xfId="0" applyFill="1" applyBorder="1" applyAlignment="1">
      <alignment horizontal="center" vertical="center" wrapText="1"/>
    </xf>
    <xf numFmtId="10" fontId="0" fillId="0" borderId="10" xfId="3" applyNumberFormat="1" applyFont="1" applyBorder="1"/>
    <xf numFmtId="10" fontId="0" fillId="0" borderId="10" xfId="0" applyNumberFormat="1" applyBorder="1"/>
    <xf numFmtId="10" fontId="0" fillId="0" borderId="11" xfId="3" applyNumberFormat="1" applyFont="1" applyFill="1" applyBorder="1"/>
    <xf numFmtId="10" fontId="0" fillId="0" borderId="2" xfId="0" applyNumberFormat="1" applyBorder="1"/>
    <xf numFmtId="0" fontId="3" fillId="0" borderId="0" xfId="0" applyFont="1" applyFill="1" applyBorder="1" applyAlignment="1"/>
    <xf numFmtId="9" fontId="0" fillId="0" borderId="0" xfId="0" applyNumberFormat="1" applyBorder="1"/>
    <xf numFmtId="0" fontId="0" fillId="0" borderId="0" xfId="0" quotePrefix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0" fontId="0" fillId="0" borderId="6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8" xfId="0" quotePrefix="1" applyBorder="1" applyAlignment="1">
      <alignment horizontal="center"/>
    </xf>
    <xf numFmtId="10" fontId="0" fillId="10" borderId="0" xfId="0" applyNumberFormat="1" applyFill="1" applyBorder="1" applyAlignment="1">
      <alignment horizontal="center"/>
    </xf>
    <xf numFmtId="0" fontId="0" fillId="0" borderId="9" xfId="0" applyBorder="1" applyAlignment="1">
      <alignment horizontal="center" vertical="center"/>
    </xf>
    <xf numFmtId="10" fontId="0" fillId="0" borderId="10" xfId="3" applyNumberFormat="1" applyFont="1" applyBorder="1" applyAlignment="1">
      <alignment horizontal="center"/>
    </xf>
    <xf numFmtId="10" fontId="0" fillId="0" borderId="2" xfId="3" applyNumberFormat="1" applyFont="1" applyBorder="1" applyAlignment="1">
      <alignment horizontal="center" vertical="center"/>
    </xf>
    <xf numFmtId="10" fontId="0" fillId="10" borderId="0" xfId="3" applyNumberFormat="1" applyFont="1" applyFill="1" applyBorder="1" applyAlignment="1">
      <alignment horizontal="center"/>
    </xf>
    <xf numFmtId="10" fontId="0" fillId="10" borderId="0" xfId="3" applyNumberFormat="1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10" fontId="0" fillId="0" borderId="12" xfId="3" applyNumberFormat="1" applyFont="1" applyFill="1" applyBorder="1" applyAlignment="1">
      <alignment horizontal="center" vertical="center"/>
    </xf>
    <xf numFmtId="10" fontId="0" fillId="0" borderId="13" xfId="3" applyNumberFormat="1" applyFont="1" applyFill="1" applyBorder="1" applyAlignment="1">
      <alignment horizontal="center" vertical="center"/>
    </xf>
    <xf numFmtId="10" fontId="0" fillId="2" borderId="14" xfId="3" applyNumberFormat="1" applyFont="1" applyFill="1" applyBorder="1" applyAlignment="1">
      <alignment horizontal="center" vertical="center"/>
    </xf>
    <xf numFmtId="10" fontId="0" fillId="0" borderId="15" xfId="3" applyNumberFormat="1" applyFont="1" applyFill="1" applyBorder="1" applyAlignment="1">
      <alignment horizontal="center" vertical="center"/>
    </xf>
    <xf numFmtId="10" fontId="0" fillId="0" borderId="7" xfId="3" applyNumberFormat="1" applyFont="1" applyFill="1" applyBorder="1" applyAlignment="1">
      <alignment horizontal="center" vertical="center"/>
    </xf>
    <xf numFmtId="10" fontId="0" fillId="0" borderId="7" xfId="3" applyNumberFormat="1" applyFont="1" applyBorder="1" applyAlignment="1">
      <alignment horizontal="center" vertical="center"/>
    </xf>
    <xf numFmtId="10" fontId="0" fillId="0" borderId="8" xfId="3" applyNumberFormat="1" applyFont="1" applyFill="1" applyBorder="1" applyAlignment="1">
      <alignment horizontal="center"/>
    </xf>
    <xf numFmtId="10" fontId="0" fillId="10" borderId="7" xfId="3" applyNumberFormat="1" applyFont="1" applyFill="1" applyBorder="1" applyAlignment="1">
      <alignment horizontal="center" vertical="center"/>
    </xf>
    <xf numFmtId="10" fontId="0" fillId="10" borderId="7" xfId="0" applyNumberFormat="1" applyFill="1" applyBorder="1" applyAlignment="1">
      <alignment horizontal="center"/>
    </xf>
    <xf numFmtId="0" fontId="15" fillId="9" borderId="9" xfId="0" applyFont="1" applyFill="1" applyBorder="1" applyAlignment="1">
      <alignment horizontal="center" vertical="center" wrapText="1"/>
    </xf>
    <xf numFmtId="0" fontId="0" fillId="9" borderId="10" xfId="0" applyFill="1" applyBorder="1" applyAlignment="1">
      <alignment horizontal="center" vertical="center" wrapText="1"/>
    </xf>
    <xf numFmtId="44" fontId="0" fillId="9" borderId="11" xfId="0" applyNumberFormat="1" applyFill="1" applyBorder="1" applyAlignment="1">
      <alignment horizontal="center" vertical="center" wrapText="1"/>
    </xf>
    <xf numFmtId="0" fontId="0" fillId="9" borderId="11" xfId="0" applyFill="1" applyBorder="1" applyAlignment="1">
      <alignment horizontal="center" vertical="center" wrapText="1"/>
    </xf>
    <xf numFmtId="10" fontId="0" fillId="0" borderId="2" xfId="0" applyNumberFormat="1" applyFill="1" applyBorder="1"/>
    <xf numFmtId="10" fontId="0" fillId="0" borderId="7" xfId="0" applyNumberFormat="1" applyBorder="1"/>
    <xf numFmtId="10" fontId="0" fillId="0" borderId="8" xfId="0" applyNumberFormat="1" applyBorder="1"/>
    <xf numFmtId="0" fontId="0" fillId="9" borderId="10" xfId="0" applyFill="1" applyBorder="1"/>
    <xf numFmtId="0" fontId="0" fillId="9" borderId="11" xfId="0" applyFill="1" applyBorder="1"/>
    <xf numFmtId="0" fontId="0" fillId="0" borderId="9" xfId="0" applyBorder="1" applyAlignment="1">
      <alignment horizontal="center"/>
    </xf>
    <xf numFmtId="9" fontId="0" fillId="0" borderId="10" xfId="0" applyNumberFormat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16" xfId="0" applyFill="1" applyBorder="1" applyAlignment="1">
      <alignment horizontal="center" vertical="center"/>
    </xf>
    <xf numFmtId="10" fontId="0" fillId="2" borderId="17" xfId="3" applyNumberFormat="1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10" fontId="0" fillId="0" borderId="8" xfId="0" quotePrefix="1" applyNumberFormat="1" applyBorder="1" applyAlignment="1">
      <alignment horizontal="center"/>
    </xf>
    <xf numFmtId="10" fontId="0" fillId="0" borderId="19" xfId="3" applyNumberFormat="1" applyFont="1" applyFill="1" applyBorder="1" applyAlignment="1">
      <alignment horizontal="center" vertical="center"/>
    </xf>
    <xf numFmtId="10" fontId="0" fillId="0" borderId="20" xfId="3" applyNumberFormat="1" applyFont="1" applyFill="1" applyBorder="1" applyAlignment="1">
      <alignment horizontal="center" vertical="center"/>
    </xf>
    <xf numFmtId="10" fontId="0" fillId="0" borderId="21" xfId="3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10" fontId="0" fillId="2" borderId="10" xfId="3" applyNumberFormat="1" applyFont="1" applyFill="1" applyBorder="1" applyAlignment="1">
      <alignment horizontal="center" vertical="center"/>
    </xf>
    <xf numFmtId="10" fontId="0" fillId="0" borderId="10" xfId="3" applyNumberFormat="1" applyFont="1" applyFill="1" applyBorder="1" applyAlignment="1">
      <alignment horizontal="center" vertical="center"/>
    </xf>
    <xf numFmtId="10" fontId="0" fillId="0" borderId="11" xfId="3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0" fontId="0" fillId="0" borderId="8" xfId="0" applyNumberFormat="1" applyBorder="1" applyAlignment="1">
      <alignment horizontal="center" vertical="center"/>
    </xf>
    <xf numFmtId="9" fontId="0" fillId="0" borderId="7" xfId="0" applyNumberFormat="1" applyBorder="1" applyAlignment="1">
      <alignment horizontal="center"/>
    </xf>
    <xf numFmtId="10" fontId="0" fillId="0" borderId="7" xfId="3" quotePrefix="1" applyNumberFormat="1" applyFont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10" fontId="0" fillId="2" borderId="23" xfId="3" applyNumberFormat="1" applyFont="1" applyFill="1" applyBorder="1" applyAlignment="1">
      <alignment horizontal="center" vertical="center" wrapText="1"/>
    </xf>
    <xf numFmtId="10" fontId="0" fillId="0" borderId="24" xfId="3" applyNumberFormat="1" applyFont="1" applyFill="1" applyBorder="1" applyAlignment="1">
      <alignment horizontal="center" vertical="center"/>
    </xf>
    <xf numFmtId="10" fontId="0" fillId="2" borderId="25" xfId="3" applyNumberFormat="1" applyFont="1" applyFill="1" applyBorder="1" applyAlignment="1">
      <alignment horizontal="center" vertical="center" wrapText="1"/>
    </xf>
    <xf numFmtId="10" fontId="0" fillId="0" borderId="26" xfId="3" applyNumberFormat="1" applyFont="1" applyFill="1" applyBorder="1" applyAlignment="1">
      <alignment horizontal="center" vertical="center"/>
    </xf>
    <xf numFmtId="0" fontId="7" fillId="5" borderId="0" xfId="0" applyFont="1" applyFill="1" applyAlignment="1">
      <alignment horizontal="left" vertical="top" wrapText="1"/>
    </xf>
    <xf numFmtId="0" fontId="7" fillId="5" borderId="0" xfId="0" applyFont="1" applyFill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14" fillId="3" borderId="1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</cellXfs>
  <cellStyles count="5">
    <cellStyle name="HyperLink" xfId="4" xr:uid="{00000000-0005-0000-0000-000000000000}"/>
    <cellStyle name="Milliers" xfId="1" builtinId="3"/>
    <cellStyle name="Monétaire" xfId="2" builtinId="4"/>
    <cellStyle name="Normal" xfId="0" builtinId="0"/>
    <cellStyle name="Pourcentage" xfId="3" builtinId="5"/>
  </cellStyles>
  <dxfs count="0"/>
  <tableStyles count="0" defaultTableStyle="TableStyleMedium2" defaultPivotStyle="PivotStyleLight16"/>
  <colors>
    <mruColors>
      <color rgb="FFEC87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219075</xdr:colOff>
      <xdr:row>1</xdr:row>
      <xdr:rowOff>19050</xdr:rowOff>
    </xdr:from>
    <xdr:to>
      <xdr:col>6</xdr:col>
      <xdr:colOff>161925</xdr:colOff>
      <xdr:row>4</xdr:row>
      <xdr:rowOff>47625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09550"/>
          <a:ext cx="14668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666750</xdr:colOff>
      <xdr:row>1</xdr:row>
      <xdr:rowOff>152400</xdr:rowOff>
    </xdr:from>
    <xdr:to>
      <xdr:col>4</xdr:col>
      <xdr:colOff>0</xdr:colOff>
      <xdr:row>3</xdr:row>
      <xdr:rowOff>95250</xdr:rowOff>
    </xdr:to>
    <xdr:pic>
      <xdr:nvPicPr>
        <xdr:cNvPr id="5" name="Image 4" descr="Données personnelles - ADES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342900"/>
          <a:ext cx="857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Site Economi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63B71"/>
      </a:accent1>
      <a:accent2>
        <a:srgbClr val="4B77BA"/>
      </a:accent2>
      <a:accent3>
        <a:srgbClr val="0188A5"/>
      </a:accent3>
      <a:accent4>
        <a:srgbClr val="BBDA97"/>
      </a:accent4>
      <a:accent5>
        <a:srgbClr val="92C777"/>
      </a:accent5>
      <a:accent6>
        <a:srgbClr val="AC2D64"/>
      </a:accent6>
      <a:hlink>
        <a:srgbClr val="DA73A0"/>
      </a:hlink>
      <a:folHlink>
        <a:srgbClr val="494429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talab.gouv.fr/licence-ouverte-open-licence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tabSelected="1" workbookViewId="0">
      <selection activeCell="G15" sqref="G15"/>
    </sheetView>
  </sheetViews>
  <sheetFormatPr baseColWidth="10" defaultRowHeight="15" x14ac:dyDescent="0.25"/>
  <cols>
    <col min="1" max="1" width="4.28515625" style="13" customWidth="1"/>
    <col min="2" max="3" width="11.42578125" style="13"/>
    <col min="4" max="5" width="11.42578125" style="13" customWidth="1"/>
    <col min="6" max="16384" width="11.42578125" style="13"/>
  </cols>
  <sheetData>
    <row r="1" spans="1:16" x14ac:dyDescent="0.25">
      <c r="A1" s="21"/>
      <c r="B1" s="26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x14ac:dyDescent="0.25">
      <c r="A2" s="21"/>
      <c r="B2" s="26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x14ac:dyDescent="0.25">
      <c r="A3" s="21"/>
      <c r="B3" s="26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6" x14ac:dyDescent="0.25">
      <c r="A4" s="21"/>
      <c r="B4" s="26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 x14ac:dyDescent="0.25">
      <c r="A5" s="21"/>
      <c r="B5" s="26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6" ht="15.75" x14ac:dyDescent="0.25">
      <c r="A6" s="23"/>
      <c r="B6" s="27"/>
      <c r="C6" s="22"/>
      <c r="D6" s="24" t="s">
        <v>78</v>
      </c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6" x14ac:dyDescent="0.25">
      <c r="A7" s="21"/>
      <c r="B7" s="26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6" x14ac:dyDescent="0.25">
      <c r="A8" s="23"/>
      <c r="B8" s="27"/>
      <c r="C8" s="22"/>
      <c r="D8" s="14" t="s">
        <v>35</v>
      </c>
      <c r="E8" s="15"/>
      <c r="F8" s="15"/>
      <c r="G8" s="15" t="s">
        <v>75</v>
      </c>
      <c r="H8" s="15"/>
      <c r="I8" s="28"/>
      <c r="J8" s="15"/>
      <c r="K8" s="15"/>
      <c r="L8" s="15"/>
      <c r="M8" s="15"/>
      <c r="N8" s="15"/>
      <c r="O8" s="22"/>
      <c r="P8" s="22"/>
    </row>
    <row r="9" spans="1:16" ht="42.75" customHeight="1" x14ac:dyDescent="0.25">
      <c r="A9" s="23"/>
      <c r="B9" s="27"/>
      <c r="C9" s="22"/>
      <c r="D9" s="14" t="s">
        <v>36</v>
      </c>
      <c r="E9" s="15"/>
      <c r="F9" s="15"/>
      <c r="G9" s="155" t="s">
        <v>44</v>
      </c>
      <c r="H9" s="155"/>
      <c r="I9" s="155"/>
      <c r="J9" s="155"/>
      <c r="K9" s="155"/>
      <c r="L9" s="155"/>
      <c r="M9" s="155"/>
      <c r="N9" s="15"/>
      <c r="O9" s="22"/>
      <c r="P9" s="22"/>
    </row>
    <row r="10" spans="1:16" ht="35.25" customHeight="1" x14ac:dyDescent="0.25">
      <c r="A10" s="29"/>
      <c r="B10" s="30"/>
      <c r="C10" s="16"/>
      <c r="D10" s="14" t="s">
        <v>37</v>
      </c>
      <c r="E10" s="16"/>
      <c r="F10" s="15"/>
      <c r="G10" s="157" t="s">
        <v>46</v>
      </c>
      <c r="H10" s="157"/>
      <c r="I10" s="157"/>
      <c r="J10" s="157"/>
      <c r="K10" s="157"/>
      <c r="L10" s="157"/>
      <c r="M10" s="157"/>
      <c r="N10" s="15"/>
      <c r="O10" s="16"/>
      <c r="P10" s="16"/>
    </row>
    <row r="11" spans="1:16" x14ac:dyDescent="0.25">
      <c r="A11" s="23"/>
      <c r="B11" s="27"/>
      <c r="C11" s="22"/>
      <c r="E11" s="15"/>
      <c r="F11" s="18"/>
      <c r="G11" s="156"/>
      <c r="H11" s="156"/>
      <c r="I11" s="156"/>
      <c r="J11" s="156"/>
      <c r="K11" s="156"/>
      <c r="L11" s="156"/>
      <c r="M11" s="156"/>
      <c r="N11" s="156"/>
      <c r="O11" s="22"/>
      <c r="P11" s="22"/>
    </row>
    <row r="12" spans="1:16" x14ac:dyDescent="0.25">
      <c r="A12" s="23"/>
      <c r="B12" s="27"/>
      <c r="C12" s="22"/>
      <c r="D12" s="14" t="s">
        <v>38</v>
      </c>
      <c r="E12" s="22"/>
      <c r="F12" s="22"/>
      <c r="G12" s="15" t="s">
        <v>39</v>
      </c>
      <c r="H12" s="15"/>
      <c r="I12" s="15"/>
      <c r="J12" s="15"/>
      <c r="K12" s="15"/>
      <c r="L12" s="15"/>
      <c r="M12" s="15"/>
      <c r="N12" s="15"/>
      <c r="O12" s="22"/>
      <c r="P12" s="22"/>
    </row>
    <row r="13" spans="1:16" x14ac:dyDescent="0.25">
      <c r="A13" s="23"/>
      <c r="B13" s="27"/>
      <c r="C13" s="22"/>
      <c r="D13" s="14" t="s">
        <v>40</v>
      </c>
      <c r="E13" s="15"/>
      <c r="F13" s="15"/>
      <c r="G13" s="15" t="s">
        <v>47</v>
      </c>
      <c r="H13" s="15"/>
      <c r="I13" s="15"/>
      <c r="J13" s="15"/>
      <c r="K13" s="15"/>
      <c r="L13" s="15"/>
      <c r="M13" s="15"/>
      <c r="N13" s="15"/>
      <c r="O13" s="22"/>
      <c r="P13" s="22"/>
    </row>
    <row r="14" spans="1:16" x14ac:dyDescent="0.25">
      <c r="A14" s="23"/>
      <c r="B14" s="27"/>
      <c r="C14" s="22"/>
      <c r="D14" s="14" t="s">
        <v>41</v>
      </c>
      <c r="E14" s="15"/>
      <c r="F14" s="15"/>
      <c r="G14" s="18">
        <v>45536</v>
      </c>
      <c r="H14" s="15"/>
      <c r="I14" s="15"/>
      <c r="J14" s="15"/>
      <c r="K14" s="15"/>
      <c r="L14" s="15"/>
      <c r="M14" s="15"/>
      <c r="N14" s="15"/>
      <c r="O14" s="22"/>
      <c r="P14" s="22"/>
    </row>
    <row r="15" spans="1:16" x14ac:dyDescent="0.25">
      <c r="A15" s="23"/>
      <c r="B15" s="27"/>
      <c r="C15" s="22"/>
      <c r="D15" s="14" t="s">
        <v>45</v>
      </c>
      <c r="E15" s="15"/>
      <c r="F15" s="15"/>
      <c r="G15" s="31" t="s">
        <v>79</v>
      </c>
      <c r="H15" s="15"/>
      <c r="I15" s="15"/>
      <c r="J15" s="15"/>
      <c r="K15" s="15"/>
      <c r="L15" s="15"/>
      <c r="M15" s="15"/>
      <c r="N15" s="15"/>
      <c r="O15" s="22"/>
      <c r="P15" s="22"/>
    </row>
    <row r="16" spans="1:16" x14ac:dyDescent="0.25">
      <c r="A16" s="23"/>
      <c r="B16" s="27"/>
      <c r="C16" s="22"/>
      <c r="D16" s="2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22"/>
      <c r="P16" s="22"/>
    </row>
    <row r="17" spans="1:16" x14ac:dyDescent="0.25">
      <c r="A17" s="23"/>
      <c r="B17" s="27"/>
      <c r="C17" s="22"/>
      <c r="D17" s="34" t="s">
        <v>49</v>
      </c>
      <c r="E17" s="34"/>
      <c r="F17" s="34"/>
      <c r="G17" s="34"/>
      <c r="H17" s="15"/>
      <c r="I17" s="15"/>
      <c r="J17" s="15"/>
      <c r="K17" s="15"/>
      <c r="L17" s="15"/>
      <c r="M17" s="15"/>
      <c r="N17" s="15"/>
      <c r="O17" s="22"/>
      <c r="P17" s="22"/>
    </row>
    <row r="18" spans="1:16" x14ac:dyDescent="0.25">
      <c r="A18" s="23"/>
      <c r="B18" s="27"/>
      <c r="C18" s="22"/>
      <c r="D18" s="40"/>
      <c r="E18" s="15" t="s">
        <v>48</v>
      </c>
      <c r="F18" s="15"/>
      <c r="G18" s="15"/>
      <c r="H18" s="15"/>
      <c r="I18" s="15"/>
      <c r="J18" s="22"/>
      <c r="K18" s="22"/>
      <c r="L18" s="22"/>
    </row>
    <row r="19" spans="1:16" x14ac:dyDescent="0.25">
      <c r="A19" s="23"/>
      <c r="B19" s="27"/>
      <c r="C19" s="22"/>
      <c r="D19" s="15"/>
      <c r="E19" s="15"/>
      <c r="F19" s="15"/>
      <c r="G19" s="15"/>
      <c r="H19" s="22"/>
      <c r="I19" s="22"/>
      <c r="J19" s="22"/>
      <c r="K19" s="22"/>
      <c r="L19" s="22"/>
    </row>
    <row r="20" spans="1:16" x14ac:dyDescent="0.25">
      <c r="A20" s="23"/>
      <c r="B20" s="27"/>
      <c r="C20" s="22"/>
      <c r="D20" s="22"/>
      <c r="E20" s="22"/>
      <c r="F20" s="22"/>
      <c r="G20" s="22"/>
    </row>
    <row r="21" spans="1:16" x14ac:dyDescent="0.25">
      <c r="A21" s="23"/>
      <c r="B21" s="27"/>
      <c r="C21" s="22"/>
      <c r="D21" s="22"/>
      <c r="E21" s="22"/>
      <c r="F21" s="22"/>
      <c r="G21" s="22"/>
    </row>
    <row r="22" spans="1:16" x14ac:dyDescent="0.25">
      <c r="A22" s="23"/>
      <c r="B22" s="27"/>
      <c r="C22" s="22"/>
      <c r="D22" s="15"/>
      <c r="E22" s="22"/>
      <c r="F22" s="22"/>
      <c r="G22" s="22"/>
    </row>
    <row r="23" spans="1:16" x14ac:dyDescent="0.25">
      <c r="A23" s="23"/>
      <c r="B23" s="27"/>
      <c r="C23" s="22"/>
      <c r="D23" s="15"/>
      <c r="E23" s="22"/>
      <c r="F23" s="22"/>
      <c r="G23" s="22"/>
    </row>
  </sheetData>
  <mergeCells count="3">
    <mergeCell ref="G9:M9"/>
    <mergeCell ref="G11:N11"/>
    <mergeCell ref="G10:M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4"/>
  <sheetViews>
    <sheetView workbookViewId="0">
      <selection activeCell="K17" sqref="K17"/>
    </sheetView>
  </sheetViews>
  <sheetFormatPr baseColWidth="10" defaultRowHeight="15" x14ac:dyDescent="0.25"/>
  <cols>
    <col min="1" max="1" width="4.42578125" customWidth="1"/>
    <col min="17" max="17" width="11.42578125" style="13"/>
  </cols>
  <sheetData>
    <row r="1" spans="1:17" ht="15.75" x14ac:dyDescent="0.25">
      <c r="A1" s="9"/>
      <c r="B1" s="9"/>
      <c r="C1" s="9"/>
      <c r="D1" s="10" t="s">
        <v>26</v>
      </c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/>
    </row>
    <row r="2" spans="1:17" x14ac:dyDescent="0.25">
      <c r="A2" s="11"/>
      <c r="B2" s="11"/>
      <c r="C2" s="12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/>
    </row>
    <row r="3" spans="1:17" x14ac:dyDescent="0.25">
      <c r="A3" s="13"/>
      <c r="B3" s="14" t="s">
        <v>27</v>
      </c>
      <c r="C3" s="15"/>
      <c r="D3" s="15"/>
      <c r="E3" s="15" t="s">
        <v>28</v>
      </c>
      <c r="F3" s="15"/>
      <c r="G3" s="15"/>
      <c r="H3" s="15"/>
      <c r="I3" s="15"/>
      <c r="J3" s="15"/>
      <c r="K3" s="15"/>
      <c r="L3" s="15"/>
      <c r="M3" s="13"/>
      <c r="N3" s="13"/>
      <c r="O3" s="13"/>
      <c r="P3" s="13"/>
      <c r="Q3"/>
    </row>
    <row r="4" spans="1:17" x14ac:dyDescent="0.25">
      <c r="A4" s="16"/>
      <c r="B4" s="13"/>
      <c r="C4" s="13"/>
      <c r="D4" s="13"/>
      <c r="E4" s="17" t="s">
        <v>29</v>
      </c>
      <c r="F4" s="15"/>
      <c r="G4" s="15"/>
      <c r="H4" s="15"/>
      <c r="I4" s="15"/>
      <c r="J4" s="15"/>
      <c r="K4" s="15"/>
      <c r="L4" s="15"/>
      <c r="M4" s="13"/>
      <c r="N4" s="13"/>
      <c r="O4" s="13"/>
      <c r="P4" s="13"/>
      <c r="Q4"/>
    </row>
    <row r="5" spans="1:17" x14ac:dyDescent="0.25">
      <c r="A5" s="16"/>
      <c r="B5" s="13"/>
      <c r="C5" s="13"/>
      <c r="D5" s="13"/>
      <c r="E5" s="17" t="s">
        <v>30</v>
      </c>
      <c r="F5" s="15"/>
      <c r="G5" s="15"/>
      <c r="H5" s="15"/>
      <c r="I5" s="15"/>
      <c r="J5" s="15"/>
      <c r="K5" s="15"/>
      <c r="L5" s="15"/>
      <c r="M5" s="13"/>
      <c r="N5" s="13"/>
      <c r="O5" s="13"/>
      <c r="P5" s="13"/>
      <c r="Q5"/>
    </row>
    <row r="6" spans="1:17" x14ac:dyDescent="0.25">
      <c r="A6" s="16"/>
      <c r="B6" s="13"/>
      <c r="C6" s="13"/>
      <c r="D6" s="13"/>
      <c r="E6" s="17" t="s">
        <v>42</v>
      </c>
      <c r="F6" s="15"/>
      <c r="G6" s="15"/>
      <c r="H6" s="15"/>
      <c r="I6" s="15"/>
      <c r="J6" s="15"/>
      <c r="K6" s="15"/>
      <c r="L6" s="15"/>
      <c r="M6" s="13"/>
      <c r="N6" s="13"/>
      <c r="O6" s="13"/>
      <c r="P6" s="13"/>
      <c r="Q6"/>
    </row>
    <row r="7" spans="1:17" x14ac:dyDescent="0.25">
      <c r="A7" s="16"/>
      <c r="B7" s="13"/>
      <c r="C7" s="13"/>
      <c r="D7" s="13"/>
      <c r="E7" s="17" t="s">
        <v>43</v>
      </c>
      <c r="F7" s="15"/>
      <c r="G7" s="15"/>
      <c r="H7" s="15"/>
      <c r="I7" s="15"/>
      <c r="J7" s="15"/>
      <c r="K7" s="15"/>
      <c r="L7" s="15"/>
      <c r="M7" s="13"/>
      <c r="N7" s="13"/>
      <c r="O7" s="13"/>
      <c r="P7" s="13"/>
      <c r="Q7"/>
    </row>
    <row r="8" spans="1:17" x14ac:dyDescent="0.25">
      <c r="A8" s="16"/>
      <c r="B8" s="16"/>
      <c r="C8" s="14"/>
      <c r="D8" s="15"/>
      <c r="E8" s="18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/>
    </row>
    <row r="9" spans="1:17" x14ac:dyDescent="0.25">
      <c r="A9" s="13"/>
      <c r="B9" s="14" t="s">
        <v>31</v>
      </c>
      <c r="C9" s="16"/>
      <c r="D9" s="16"/>
      <c r="E9" s="19" t="s">
        <v>32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/>
    </row>
    <row r="10" spans="1:17" x14ac:dyDescent="0.25">
      <c r="A10" s="13"/>
      <c r="B10" s="13"/>
      <c r="C10" s="16"/>
      <c r="D10" s="16"/>
      <c r="E10" s="15" t="s">
        <v>33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/>
    </row>
    <row r="11" spans="1:17" x14ac:dyDescent="0.25">
      <c r="A11" s="13"/>
      <c r="B11" s="13"/>
      <c r="C11" s="16"/>
      <c r="D11" s="16"/>
      <c r="E11" s="20" t="s">
        <v>34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/>
    </row>
    <row r="12" spans="1:17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/>
    </row>
    <row r="13" spans="1:17" x14ac:dyDescent="0.25">
      <c r="A13" s="13"/>
      <c r="B13" s="13"/>
      <c r="C13" s="13"/>
      <c r="D13" s="13"/>
      <c r="E13" s="13"/>
      <c r="F13" s="13"/>
      <c r="G13" s="15"/>
      <c r="H13" s="15"/>
      <c r="I13" s="15"/>
      <c r="J13" s="15"/>
      <c r="K13" s="15"/>
      <c r="L13" s="15"/>
      <c r="M13" s="15"/>
      <c r="N13" s="13"/>
      <c r="O13" s="13"/>
      <c r="P13" s="13"/>
      <c r="Q13"/>
    </row>
    <row r="14" spans="1:17" x14ac:dyDescent="0.25">
      <c r="A14" s="13"/>
      <c r="B14" s="13"/>
      <c r="C14" s="13"/>
      <c r="D14" s="13"/>
      <c r="E14" s="13"/>
      <c r="F14" s="13"/>
      <c r="G14" s="15"/>
      <c r="H14" s="15"/>
      <c r="I14" s="15"/>
      <c r="J14" s="15"/>
      <c r="K14" s="15"/>
      <c r="L14" s="15"/>
      <c r="M14" s="15"/>
      <c r="N14" s="13"/>
      <c r="O14" s="13"/>
      <c r="P14" s="13"/>
      <c r="Q14"/>
    </row>
    <row r="15" spans="1:17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/>
    </row>
    <row r="16" spans="1:17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/>
    </row>
    <row r="17" spans="1:17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/>
    </row>
    <row r="18" spans="1:17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/>
    </row>
    <row r="19" spans="1:17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/>
    </row>
    <row r="20" spans="1:17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/>
    </row>
    <row r="21" spans="1:17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/>
    </row>
    <row r="22" spans="1:17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/>
    </row>
    <row r="23" spans="1:17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/>
    </row>
    <row r="24" spans="1:17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/>
    </row>
  </sheetData>
  <hyperlinks>
    <hyperlink ref="A2" r:id="rId1" display="http://www.etalab.gouv.fr/licence-ouverte-open-licence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8"/>
  <sheetViews>
    <sheetView zoomScale="80" zoomScaleNormal="80" workbookViewId="0">
      <selection activeCell="C7" sqref="C7"/>
    </sheetView>
  </sheetViews>
  <sheetFormatPr baseColWidth="10" defaultRowHeight="15" x14ac:dyDescent="0.25"/>
  <cols>
    <col min="1" max="1" width="11.42578125" style="1"/>
    <col min="2" max="5" width="36.7109375" style="1" customWidth="1"/>
    <col min="6" max="6" width="29.7109375" style="1" customWidth="1"/>
    <col min="7" max="7" width="36.7109375" style="1" customWidth="1"/>
    <col min="8" max="8" width="47.7109375" style="1" customWidth="1"/>
    <col min="9" max="9" width="36.7109375" style="1" customWidth="1"/>
    <col min="10" max="10" width="58" style="1" bestFit="1" customWidth="1"/>
    <col min="11" max="11" width="46.140625" style="1" customWidth="1"/>
    <col min="12" max="16384" width="11.42578125" style="1"/>
  </cols>
  <sheetData>
    <row r="1" spans="2:11" ht="36.75" customHeight="1" thickBot="1" x14ac:dyDescent="0.3">
      <c r="B1" s="4"/>
      <c r="C1" s="158" t="s">
        <v>0</v>
      </c>
      <c r="D1" s="159"/>
      <c r="E1" s="159"/>
      <c r="F1" s="159"/>
      <c r="G1" s="159"/>
      <c r="H1" s="159"/>
      <c r="I1" s="159"/>
      <c r="J1" s="159"/>
      <c r="K1" s="159"/>
    </row>
    <row r="2" spans="2:11" ht="50.25" customHeight="1" thickBot="1" x14ac:dyDescent="0.3">
      <c r="B2" s="35"/>
      <c r="C2" s="43" t="s">
        <v>1</v>
      </c>
      <c r="D2" s="44" t="s">
        <v>72</v>
      </c>
      <c r="E2" s="44" t="s">
        <v>2</v>
      </c>
      <c r="F2" s="44" t="s">
        <v>3</v>
      </c>
      <c r="G2" s="45" t="s">
        <v>4</v>
      </c>
      <c r="H2" s="45" t="s">
        <v>51</v>
      </c>
      <c r="I2" s="45" t="s">
        <v>5</v>
      </c>
      <c r="J2" s="45" t="s">
        <v>12</v>
      </c>
      <c r="K2" s="61" t="s">
        <v>74</v>
      </c>
    </row>
    <row r="3" spans="2:11" ht="15.75" thickBot="1" x14ac:dyDescent="0.3">
      <c r="B3" s="46" t="s">
        <v>6</v>
      </c>
      <c r="C3" s="47"/>
      <c r="D3" s="47"/>
      <c r="E3" s="47"/>
      <c r="F3" s="47"/>
      <c r="G3" s="47"/>
      <c r="H3" s="47"/>
      <c r="I3" s="47"/>
      <c r="J3" s="47"/>
      <c r="K3" s="62"/>
    </row>
    <row r="4" spans="2:11" x14ac:dyDescent="0.25">
      <c r="B4" s="49">
        <v>2012</v>
      </c>
      <c r="C4" s="32">
        <v>5.7099999999999998E-2</v>
      </c>
      <c r="D4" s="32">
        <v>0.77370000000000005</v>
      </c>
      <c r="E4" s="32">
        <v>2.9999999999999997E-4</v>
      </c>
      <c r="F4" s="32">
        <v>4.4000000000000003E-3</v>
      </c>
      <c r="G4" s="32">
        <v>9.6699999999999994E-2</v>
      </c>
      <c r="H4" s="32">
        <v>5.2900000000000003E-2</v>
      </c>
      <c r="I4" s="32">
        <v>1.4999999999999999E-2</v>
      </c>
      <c r="J4" s="32" t="s">
        <v>50</v>
      </c>
      <c r="K4" s="52"/>
    </row>
    <row r="5" spans="2:11" x14ac:dyDescent="0.25">
      <c r="B5" s="49">
        <v>2013</v>
      </c>
      <c r="C5" s="32">
        <v>5.3600000000000002E-2</v>
      </c>
      <c r="D5" s="32">
        <v>0.77459999999999996</v>
      </c>
      <c r="E5" s="32">
        <v>2.9999999999999997E-4</v>
      </c>
      <c r="F5" s="32">
        <v>4.1999999999999997E-3</v>
      </c>
      <c r="G5" s="32">
        <v>9.3799999999999994E-2</v>
      </c>
      <c r="H5" s="32">
        <v>5.8099999999999999E-2</v>
      </c>
      <c r="I5" s="32">
        <v>1.55E-2</v>
      </c>
      <c r="J5" s="32" t="s">
        <v>50</v>
      </c>
      <c r="K5" s="52"/>
    </row>
    <row r="6" spans="2:11" x14ac:dyDescent="0.25">
      <c r="B6" s="49">
        <v>2014</v>
      </c>
      <c r="C6" s="32">
        <v>6.0299999999999999E-2</v>
      </c>
      <c r="D6" s="32">
        <v>0.75749999999999995</v>
      </c>
      <c r="E6" s="32">
        <v>4.0000000000000002E-4</v>
      </c>
      <c r="F6" s="32">
        <v>4.1000000000000003E-3</v>
      </c>
      <c r="G6" s="32">
        <v>9.8599999999999993E-2</v>
      </c>
      <c r="H6" s="32">
        <v>6.2899999999999998E-2</v>
      </c>
      <c r="I6" s="32">
        <v>1.61E-2</v>
      </c>
      <c r="J6" s="32" t="s">
        <v>50</v>
      </c>
      <c r="K6" s="52"/>
    </row>
    <row r="7" spans="2:11" x14ac:dyDescent="0.25">
      <c r="B7" s="49">
        <v>2015</v>
      </c>
      <c r="C7" s="32">
        <v>6.3200000000000006E-2</v>
      </c>
      <c r="D7" s="32">
        <v>0.75590000000000002</v>
      </c>
      <c r="E7" s="32">
        <v>2.9999999999999997E-4</v>
      </c>
      <c r="F7" s="32">
        <v>4.1999999999999997E-3</v>
      </c>
      <c r="G7" s="32">
        <v>9.64E-2</v>
      </c>
      <c r="H7" s="32">
        <v>6.1100000000000002E-2</v>
      </c>
      <c r="I7" s="32">
        <v>1.8800000000000001E-2</v>
      </c>
      <c r="J7" s="32" t="s">
        <v>50</v>
      </c>
      <c r="K7" s="52"/>
    </row>
    <row r="8" spans="2:11" x14ac:dyDescent="0.25">
      <c r="B8" s="49">
        <v>2016</v>
      </c>
      <c r="C8" s="32">
        <v>6.3399999999999998E-2</v>
      </c>
      <c r="D8" s="32">
        <v>0.73839999999999995</v>
      </c>
      <c r="E8" s="32">
        <v>2.9999999999999997E-4</v>
      </c>
      <c r="F8" s="32">
        <v>4.4000000000000003E-3</v>
      </c>
      <c r="G8" s="32">
        <v>0.1014</v>
      </c>
      <c r="H8" s="32">
        <v>6.7599999999999993E-2</v>
      </c>
      <c r="I8" s="32">
        <v>2.4500000000000001E-2</v>
      </c>
      <c r="J8" s="32" t="s">
        <v>50</v>
      </c>
      <c r="K8" s="52"/>
    </row>
    <row r="9" spans="2:11" x14ac:dyDescent="0.25">
      <c r="B9" s="49">
        <v>2017</v>
      </c>
      <c r="C9" s="32">
        <v>6.6699999999999995E-2</v>
      </c>
      <c r="D9" s="32">
        <v>0.73340000000000005</v>
      </c>
      <c r="E9" s="32">
        <v>5.0000000000000001E-4</v>
      </c>
      <c r="F9" s="32">
        <v>4.4999999999999997E-3</v>
      </c>
      <c r="G9" s="32">
        <v>0.1007</v>
      </c>
      <c r="H9" s="32">
        <v>6.8900000000000003E-2</v>
      </c>
      <c r="I9" s="32">
        <v>2.52E-2</v>
      </c>
      <c r="J9" s="32" t="s">
        <v>50</v>
      </c>
      <c r="K9" s="52"/>
    </row>
    <row r="10" spans="2:11" x14ac:dyDescent="0.25">
      <c r="B10" s="49">
        <v>2018</v>
      </c>
      <c r="C10" s="32">
        <v>6.8199999999999997E-2</v>
      </c>
      <c r="D10" s="32">
        <v>0.72540000000000004</v>
      </c>
      <c r="E10" s="32">
        <v>5.0000000000000001E-4</v>
      </c>
      <c r="F10" s="32">
        <v>4.5999999999999999E-3</v>
      </c>
      <c r="G10" s="32">
        <v>0.11310000000000001</v>
      </c>
      <c r="H10" s="32">
        <v>6.8400000000000002E-2</v>
      </c>
      <c r="I10" s="32">
        <v>1.9800000000000002E-2</v>
      </c>
      <c r="J10" s="32" t="s">
        <v>50</v>
      </c>
      <c r="K10" s="52"/>
    </row>
    <row r="11" spans="2:11" x14ac:dyDescent="0.25">
      <c r="B11" s="49">
        <v>2019</v>
      </c>
      <c r="C11" s="32">
        <v>6.6199999999999995E-2</v>
      </c>
      <c r="D11" s="32">
        <v>0.71879999999999999</v>
      </c>
      <c r="E11" s="32">
        <v>5.9999999999999995E-4</v>
      </c>
      <c r="F11" s="32">
        <v>4.4000000000000003E-3</v>
      </c>
      <c r="G11" s="32">
        <v>0.108</v>
      </c>
      <c r="H11" s="32">
        <v>6.8900000000000003E-2</v>
      </c>
      <c r="I11" s="32">
        <v>2.9499999999999998E-2</v>
      </c>
      <c r="J11" s="32">
        <v>3.6000000000000001E-5</v>
      </c>
      <c r="K11" s="66"/>
    </row>
    <row r="12" spans="2:11" x14ac:dyDescent="0.25">
      <c r="B12" s="49">
        <v>2020</v>
      </c>
      <c r="C12" s="32">
        <v>6.4399999999999999E-2</v>
      </c>
      <c r="D12" s="32">
        <v>0.70660000000000001</v>
      </c>
      <c r="E12" s="32">
        <v>5.0000000000000001E-4</v>
      </c>
      <c r="F12" s="32">
        <v>2.1700000000000001E-2</v>
      </c>
      <c r="G12" s="32">
        <v>0.1069</v>
      </c>
      <c r="H12" s="32">
        <v>7.1599999999999997E-2</v>
      </c>
      <c r="I12" s="32">
        <v>2.53E-2</v>
      </c>
      <c r="J12" s="32">
        <v>3.0000000000000001E-3</v>
      </c>
      <c r="K12" s="66"/>
    </row>
    <row r="13" spans="2:11" x14ac:dyDescent="0.25">
      <c r="B13" s="49">
        <v>2021</v>
      </c>
      <c r="C13" s="32">
        <v>6.3399999999999998E-2</v>
      </c>
      <c r="D13" s="32">
        <v>0.7046</v>
      </c>
      <c r="E13" s="32">
        <v>5.9999999999999995E-4</v>
      </c>
      <c r="F13" s="32">
        <v>4.1000000000000003E-3</v>
      </c>
      <c r="G13" s="32">
        <v>0.1053</v>
      </c>
      <c r="H13" s="32">
        <v>5.8200000000000002E-2</v>
      </c>
      <c r="I13" s="32">
        <v>4.2700000000000002E-2</v>
      </c>
      <c r="J13" s="32">
        <v>3.8E-3</v>
      </c>
      <c r="K13" s="66">
        <v>1.7299999999999999E-2</v>
      </c>
    </row>
    <row r="14" spans="2:11" x14ac:dyDescent="0.25">
      <c r="B14" s="49">
        <v>2022</v>
      </c>
      <c r="C14" s="32">
        <v>4.7300000000000002E-2</v>
      </c>
      <c r="D14" s="32">
        <v>0.745</v>
      </c>
      <c r="E14" s="32">
        <v>5.9999999999999995E-4</v>
      </c>
      <c r="F14" s="32">
        <v>4.0000000000000001E-3</v>
      </c>
      <c r="G14" s="32">
        <v>8.4400000000000003E-2</v>
      </c>
      <c r="H14" s="32">
        <v>5.2499999999999998E-2</v>
      </c>
      <c r="I14" s="32">
        <v>4.7699999999999999E-2</v>
      </c>
      <c r="J14" s="32">
        <v>1.5E-3</v>
      </c>
      <c r="K14" s="66">
        <v>1.6899999999999998E-2</v>
      </c>
    </row>
    <row r="15" spans="2:11" ht="15.75" thickBot="1" x14ac:dyDescent="0.3">
      <c r="B15" s="50">
        <v>2023</v>
      </c>
      <c r="C15" s="51">
        <v>5.2400000000000002E-2</v>
      </c>
      <c r="D15" s="51">
        <v>0.71660000000000001</v>
      </c>
      <c r="E15" s="51">
        <v>5.9999999999999995E-4</v>
      </c>
      <c r="F15" s="51">
        <v>4.4000000000000003E-3</v>
      </c>
      <c r="G15" s="51">
        <v>0.1065</v>
      </c>
      <c r="H15" s="51">
        <v>4.8899999999999999E-2</v>
      </c>
      <c r="I15" s="51">
        <v>4.8599999999999997E-2</v>
      </c>
      <c r="J15" s="51">
        <v>4.1000000000000003E-3</v>
      </c>
      <c r="K15" s="65">
        <v>1.7899999999999999E-2</v>
      </c>
    </row>
    <row r="16" spans="2:11" ht="15.75" thickBot="1" x14ac:dyDescent="0.3">
      <c r="B16" s="46" t="s">
        <v>7</v>
      </c>
      <c r="C16" s="59"/>
      <c r="D16" s="59"/>
      <c r="E16" s="59"/>
      <c r="F16" s="59"/>
      <c r="G16" s="58"/>
      <c r="H16" s="58"/>
      <c r="I16" s="58"/>
      <c r="J16" s="58"/>
      <c r="K16" s="62"/>
    </row>
    <row r="17" spans="1:11" x14ac:dyDescent="0.25">
      <c r="B17" s="108">
        <v>2012</v>
      </c>
      <c r="C17" s="109">
        <v>3.49E-2</v>
      </c>
      <c r="D17" s="109">
        <v>0.81910000000000005</v>
      </c>
      <c r="E17" s="109">
        <v>5.0000000000000001E-4</v>
      </c>
      <c r="F17" s="109">
        <v>1.2999999999999999E-3</v>
      </c>
      <c r="G17" s="109">
        <v>0.10680000000000001</v>
      </c>
      <c r="H17" s="109">
        <v>1.32E-2</v>
      </c>
      <c r="I17" s="109">
        <v>2.4199999999999999E-2</v>
      </c>
      <c r="J17" s="109" t="s">
        <v>50</v>
      </c>
      <c r="K17" s="134"/>
    </row>
    <row r="18" spans="1:11" x14ac:dyDescent="0.25">
      <c r="B18" s="49">
        <v>2013</v>
      </c>
      <c r="C18" s="32">
        <v>4.3299999999999998E-2</v>
      </c>
      <c r="D18" s="32">
        <v>0.81369999999999998</v>
      </c>
      <c r="E18" s="32">
        <v>5.9999999999999995E-4</v>
      </c>
      <c r="F18" s="32">
        <v>1.2999999999999999E-3</v>
      </c>
      <c r="G18" s="32">
        <v>0.1036</v>
      </c>
      <c r="H18" s="32">
        <v>1.46E-2</v>
      </c>
      <c r="I18" s="32">
        <v>2.29E-2</v>
      </c>
      <c r="J18" s="32" t="s">
        <v>50</v>
      </c>
      <c r="K18" s="52"/>
    </row>
    <row r="19" spans="1:11" x14ac:dyDescent="0.25">
      <c r="A19" s="2"/>
      <c r="B19" s="49">
        <v>2014</v>
      </c>
      <c r="C19" s="32">
        <v>5.5800000000000002E-2</v>
      </c>
      <c r="D19" s="32">
        <v>0.80089999999999995</v>
      </c>
      <c r="E19" s="32">
        <v>5.9999999999999995E-4</v>
      </c>
      <c r="F19" s="32">
        <v>1.1000000000000001E-3</v>
      </c>
      <c r="G19" s="32">
        <v>0.1027</v>
      </c>
      <c r="H19" s="32">
        <v>1.5800000000000002E-2</v>
      </c>
      <c r="I19" s="32">
        <v>2.3099999999999999E-2</v>
      </c>
      <c r="J19" s="32" t="s">
        <v>50</v>
      </c>
      <c r="K19" s="52"/>
    </row>
    <row r="20" spans="1:11" x14ac:dyDescent="0.25">
      <c r="B20" s="49">
        <v>2015</v>
      </c>
      <c r="C20" s="32">
        <v>4.7E-2</v>
      </c>
      <c r="D20" s="32">
        <v>0.80549999999999999</v>
      </c>
      <c r="E20" s="32">
        <v>5.9999999999999995E-4</v>
      </c>
      <c r="F20" s="32">
        <v>1.1000000000000001E-3</v>
      </c>
      <c r="G20" s="32">
        <v>0.1007</v>
      </c>
      <c r="H20" s="32">
        <v>1.44E-2</v>
      </c>
      <c r="I20" s="32">
        <v>3.0599999999999999E-2</v>
      </c>
      <c r="J20" s="32" t="s">
        <v>50</v>
      </c>
      <c r="K20" s="52"/>
    </row>
    <row r="21" spans="1:11" x14ac:dyDescent="0.25">
      <c r="B21" s="49">
        <v>2016</v>
      </c>
      <c r="C21" s="32">
        <v>3.7699999999999997E-2</v>
      </c>
      <c r="D21" s="32">
        <v>0.80859999999999999</v>
      </c>
      <c r="E21" s="32">
        <v>5.9999999999999995E-4</v>
      </c>
      <c r="F21" s="32">
        <v>1.1999999999999999E-3</v>
      </c>
      <c r="G21" s="32">
        <v>9.6199999999999994E-2</v>
      </c>
      <c r="H21" s="32">
        <v>1.72E-2</v>
      </c>
      <c r="I21" s="32">
        <v>3.85E-2</v>
      </c>
      <c r="J21" s="32" t="s">
        <v>50</v>
      </c>
      <c r="K21" s="52"/>
    </row>
    <row r="22" spans="1:11" x14ac:dyDescent="0.25">
      <c r="B22" s="49">
        <v>2017</v>
      </c>
      <c r="C22" s="32">
        <v>3.9300000000000002E-2</v>
      </c>
      <c r="D22" s="32">
        <v>0.8085</v>
      </c>
      <c r="E22" s="32">
        <v>8.0000000000000004E-4</v>
      </c>
      <c r="F22" s="32">
        <v>1.1999999999999999E-3</v>
      </c>
      <c r="G22" s="32">
        <v>9.3399999999999997E-2</v>
      </c>
      <c r="H22" s="32">
        <v>1.72E-2</v>
      </c>
      <c r="I22" s="32">
        <v>3.9600000000000003E-2</v>
      </c>
      <c r="J22" s="32" t="s">
        <v>50</v>
      </c>
      <c r="K22" s="52"/>
    </row>
    <row r="23" spans="1:11" x14ac:dyDescent="0.25">
      <c r="B23" s="49">
        <v>2018</v>
      </c>
      <c r="C23" s="32">
        <v>4.4600000000000001E-2</v>
      </c>
      <c r="D23" s="32">
        <v>0.78180000000000005</v>
      </c>
      <c r="E23" s="32">
        <v>8.0000000000000004E-4</v>
      </c>
      <c r="F23" s="32">
        <v>1.1999999999999999E-3</v>
      </c>
      <c r="G23" s="32">
        <v>0.1201</v>
      </c>
      <c r="H23" s="32">
        <v>1.7100000000000001E-2</v>
      </c>
      <c r="I23" s="32">
        <v>3.4500000000000003E-2</v>
      </c>
      <c r="J23" s="32" t="s">
        <v>50</v>
      </c>
      <c r="K23" s="52"/>
    </row>
    <row r="24" spans="1:11" x14ac:dyDescent="0.25">
      <c r="B24" s="49">
        <v>2019</v>
      </c>
      <c r="C24" s="32">
        <v>2.8000000000000001E-2</v>
      </c>
      <c r="D24" s="32">
        <v>0.7792</v>
      </c>
      <c r="E24" s="32">
        <v>8.9999999999999998E-4</v>
      </c>
      <c r="F24" s="32">
        <v>1.1999999999999999E-3</v>
      </c>
      <c r="G24" s="32">
        <v>0.1188</v>
      </c>
      <c r="H24" s="32">
        <v>1.3100000000000001E-2</v>
      </c>
      <c r="I24" s="32">
        <v>5.45E-2</v>
      </c>
      <c r="J24" s="32">
        <v>4.3E-3</v>
      </c>
      <c r="K24" s="66"/>
    </row>
    <row r="25" spans="1:11" x14ac:dyDescent="0.25">
      <c r="B25" s="49">
        <v>2020</v>
      </c>
      <c r="C25" s="32">
        <v>4.5400000000000003E-2</v>
      </c>
      <c r="D25" s="32">
        <v>0.76139999999999997</v>
      </c>
      <c r="E25" s="32">
        <v>8.9999999999999998E-4</v>
      </c>
      <c r="F25" s="32">
        <v>1.2999999999999999E-3</v>
      </c>
      <c r="G25" s="32">
        <v>9.74E-2</v>
      </c>
      <c r="H25" s="32">
        <v>1.4500000000000001E-2</v>
      </c>
      <c r="I25" s="32">
        <v>4.3499999999999997E-2</v>
      </c>
      <c r="J25" s="32">
        <v>9.5999999999999992E-3</v>
      </c>
      <c r="K25" s="66">
        <v>2.5999999999999999E-2</v>
      </c>
    </row>
    <row r="26" spans="1:11" x14ac:dyDescent="0.25">
      <c r="B26" s="49">
        <v>2021</v>
      </c>
      <c r="C26" s="32">
        <v>2.8000000000000001E-2</v>
      </c>
      <c r="D26" s="32">
        <v>0.77600000000000002</v>
      </c>
      <c r="E26" s="32">
        <v>1.1000000000000001E-3</v>
      </c>
      <c r="F26" s="32">
        <v>1.2999999999999999E-3</v>
      </c>
      <c r="G26" s="32">
        <v>7.4800000000000005E-2</v>
      </c>
      <c r="H26" s="32">
        <v>8.0999999999999996E-3</v>
      </c>
      <c r="I26" s="32">
        <v>7.51E-2</v>
      </c>
      <c r="J26" s="32">
        <v>8.3999999999999995E-3</v>
      </c>
      <c r="K26" s="66">
        <v>2.7199999999999998E-2</v>
      </c>
    </row>
    <row r="27" spans="1:11" x14ac:dyDescent="0.25">
      <c r="B27" s="49">
        <v>2022</v>
      </c>
      <c r="C27" s="32">
        <v>2.76E-2</v>
      </c>
      <c r="D27" s="32">
        <v>0.72889999999999999</v>
      </c>
      <c r="E27" s="32">
        <v>1E-3</v>
      </c>
      <c r="F27" s="32">
        <v>1.1999999999999999E-3</v>
      </c>
      <c r="G27" s="32">
        <v>0.1147</v>
      </c>
      <c r="H27" s="32">
        <v>1.0500000000000001E-2</v>
      </c>
      <c r="I27" s="32">
        <v>8.5099999999999995E-2</v>
      </c>
      <c r="J27" s="32">
        <v>5.0000000000000001E-3</v>
      </c>
      <c r="K27" s="66">
        <v>2.6100000000000002E-2</v>
      </c>
    </row>
    <row r="28" spans="1:11" ht="15.75" thickBot="1" x14ac:dyDescent="0.3">
      <c r="B28" s="50">
        <v>2023</v>
      </c>
      <c r="C28" s="51">
        <v>3.04E-2</v>
      </c>
      <c r="D28" s="51">
        <v>0.72099999999999997</v>
      </c>
      <c r="E28" s="51">
        <v>8.9999999999999998E-4</v>
      </c>
      <c r="F28" s="51">
        <v>1.2999999999999999E-3</v>
      </c>
      <c r="G28" s="51">
        <v>0.1135</v>
      </c>
      <c r="H28" s="51">
        <v>1.4200000000000001E-2</v>
      </c>
      <c r="I28" s="51">
        <v>8.4000000000000005E-2</v>
      </c>
      <c r="J28" s="51">
        <v>7.4999999999999997E-3</v>
      </c>
      <c r="K28" s="138">
        <v>2.7199999999999998E-2</v>
      </c>
    </row>
    <row r="29" spans="1:11" ht="57" customHeight="1" thickBot="1" x14ac:dyDescent="0.3">
      <c r="B29" s="135"/>
      <c r="C29" s="135"/>
      <c r="D29" s="135"/>
      <c r="E29" s="135"/>
      <c r="F29" s="136" t="s">
        <v>76</v>
      </c>
      <c r="G29" s="135"/>
      <c r="H29" s="135"/>
      <c r="I29" s="135"/>
      <c r="J29" s="135"/>
      <c r="K29" s="137"/>
    </row>
    <row r="30" spans="1:11" ht="15.75" thickBot="1" x14ac:dyDescent="0.3">
      <c r="B30" s="46" t="s">
        <v>8</v>
      </c>
      <c r="C30" s="59"/>
      <c r="D30" s="59"/>
      <c r="E30" s="59"/>
      <c r="F30" s="59"/>
      <c r="G30" s="58"/>
      <c r="H30" s="58"/>
      <c r="I30" s="58"/>
      <c r="J30" s="58"/>
      <c r="K30" s="62"/>
    </row>
    <row r="31" spans="1:11" x14ac:dyDescent="0.25">
      <c r="B31" s="108">
        <v>2012</v>
      </c>
      <c r="C31" s="109">
        <v>8.6499999999999994E-2</v>
      </c>
      <c r="D31" s="109">
        <v>0.70289999999999997</v>
      </c>
      <c r="E31" s="109">
        <v>1.2999999999999999E-3</v>
      </c>
      <c r="F31" s="109">
        <v>3.3E-3</v>
      </c>
      <c r="G31" s="109">
        <v>0.1197</v>
      </c>
      <c r="H31" s="109">
        <v>1.9E-2</v>
      </c>
      <c r="I31" s="109">
        <v>6.7199999999999996E-2</v>
      </c>
      <c r="J31" s="109" t="s">
        <v>50</v>
      </c>
      <c r="K31" s="134"/>
    </row>
    <row r="32" spans="1:11" x14ac:dyDescent="0.25">
      <c r="B32" s="49">
        <v>2013</v>
      </c>
      <c r="C32" s="32">
        <v>8.5800000000000001E-2</v>
      </c>
      <c r="D32" s="32">
        <v>0.70720000000000005</v>
      </c>
      <c r="E32" s="32">
        <v>1.1000000000000001E-3</v>
      </c>
      <c r="F32" s="32">
        <v>3.0999999999999999E-3</v>
      </c>
      <c r="G32" s="32">
        <v>0.1177</v>
      </c>
      <c r="H32" s="32">
        <v>2.8799999999999999E-2</v>
      </c>
      <c r="I32" s="32">
        <v>5.6399999999999999E-2</v>
      </c>
      <c r="J32" s="32" t="s">
        <v>50</v>
      </c>
      <c r="K32" s="52"/>
    </row>
    <row r="33" spans="2:11" x14ac:dyDescent="0.25">
      <c r="B33" s="49">
        <v>2014</v>
      </c>
      <c r="C33" s="32">
        <v>6.9800000000000001E-2</v>
      </c>
      <c r="D33" s="32">
        <v>0.71930000000000005</v>
      </c>
      <c r="E33" s="32">
        <v>1.1000000000000001E-3</v>
      </c>
      <c r="F33" s="32">
        <v>2.7000000000000001E-3</v>
      </c>
      <c r="G33" s="32">
        <v>0.114</v>
      </c>
      <c r="H33" s="32">
        <v>2.2100000000000002E-2</v>
      </c>
      <c r="I33" s="32">
        <v>7.0999999999999994E-2</v>
      </c>
      <c r="J33" s="32" t="s">
        <v>50</v>
      </c>
      <c r="K33" s="52"/>
    </row>
    <row r="34" spans="2:11" x14ac:dyDescent="0.25">
      <c r="B34" s="49">
        <v>2015</v>
      </c>
      <c r="C34" s="32">
        <v>6.0600000000000001E-2</v>
      </c>
      <c r="D34" s="32">
        <v>0.68859999999999999</v>
      </c>
      <c r="E34" s="32">
        <v>1.2999999999999999E-3</v>
      </c>
      <c r="F34" s="32">
        <v>2.8E-3</v>
      </c>
      <c r="G34" s="32">
        <v>0.11700000000000001</v>
      </c>
      <c r="H34" s="32">
        <v>2.3900000000000001E-2</v>
      </c>
      <c r="I34" s="32">
        <v>0.10580000000000001</v>
      </c>
      <c r="J34" s="32" t="s">
        <v>50</v>
      </c>
      <c r="K34" s="52"/>
    </row>
    <row r="35" spans="2:11" x14ac:dyDescent="0.25">
      <c r="B35" s="49">
        <v>2016</v>
      </c>
      <c r="C35" s="32">
        <v>5.2400000000000002E-2</v>
      </c>
      <c r="D35" s="32">
        <v>0.76759999999999995</v>
      </c>
      <c r="E35" s="32">
        <v>1.2999999999999999E-3</v>
      </c>
      <c r="F35" s="32">
        <v>2.7000000000000001E-3</v>
      </c>
      <c r="G35" s="32">
        <v>0.1177</v>
      </c>
      <c r="H35" s="32">
        <v>2.3300000000000001E-2</v>
      </c>
      <c r="I35" s="32">
        <v>7.4999999999999997E-2</v>
      </c>
      <c r="J35" s="32" t="s">
        <v>50</v>
      </c>
      <c r="K35" s="52"/>
    </row>
    <row r="36" spans="2:11" x14ac:dyDescent="0.25">
      <c r="B36" s="49">
        <v>2017</v>
      </c>
      <c r="C36" s="32">
        <v>5.6099999999999997E-2</v>
      </c>
      <c r="D36" s="32">
        <v>0.75800000000000001</v>
      </c>
      <c r="E36" s="32">
        <v>1.4E-3</v>
      </c>
      <c r="F36" s="32">
        <v>2.3999999999999998E-3</v>
      </c>
      <c r="G36" s="32">
        <v>5.4399999999999997E-2</v>
      </c>
      <c r="H36" s="32">
        <v>2.06E-2</v>
      </c>
      <c r="I36" s="32">
        <v>0.1071</v>
      </c>
      <c r="J36" s="32" t="s">
        <v>50</v>
      </c>
      <c r="K36" s="52"/>
    </row>
    <row r="37" spans="2:11" x14ac:dyDescent="0.25">
      <c r="B37" s="49">
        <v>2018</v>
      </c>
      <c r="C37" s="32">
        <v>3.9300000000000002E-2</v>
      </c>
      <c r="D37" s="32">
        <v>0.71550000000000002</v>
      </c>
      <c r="E37" s="32">
        <v>1.2999999999999999E-3</v>
      </c>
      <c r="F37" s="63" t="s">
        <v>52</v>
      </c>
      <c r="G37" s="32">
        <v>0.13200000000000001</v>
      </c>
      <c r="H37" s="32">
        <v>2.41E-2</v>
      </c>
      <c r="I37" s="32">
        <v>8.7800000000000003E-2</v>
      </c>
      <c r="J37" s="32" t="s">
        <v>50</v>
      </c>
      <c r="K37" s="52"/>
    </row>
    <row r="38" spans="2:11" x14ac:dyDescent="0.25">
      <c r="B38" s="49">
        <v>2019</v>
      </c>
      <c r="C38" s="32">
        <v>4.3200000000000002E-2</v>
      </c>
      <c r="D38" s="32">
        <v>0.61619999999999997</v>
      </c>
      <c r="E38" s="32">
        <v>1.4E-3</v>
      </c>
      <c r="F38" s="32">
        <v>4.7000000000000002E-3</v>
      </c>
      <c r="G38" s="32">
        <v>0.113</v>
      </c>
      <c r="H38" s="32">
        <v>2.7300000000000001E-2</v>
      </c>
      <c r="I38" s="32">
        <v>0.19420000000000001</v>
      </c>
      <c r="J38" s="32" t="s">
        <v>50</v>
      </c>
      <c r="K38" s="52"/>
    </row>
    <row r="39" spans="2:11" x14ac:dyDescent="0.25">
      <c r="B39" s="49">
        <v>2020</v>
      </c>
      <c r="C39" s="32">
        <v>4.7199999999999999E-2</v>
      </c>
      <c r="D39" s="32">
        <v>0.6946</v>
      </c>
      <c r="E39" s="32">
        <v>1.6000000000000001E-3</v>
      </c>
      <c r="F39" s="111">
        <v>2.4799999999999999E-2</v>
      </c>
      <c r="G39" s="32">
        <v>0.12</v>
      </c>
      <c r="H39" s="32">
        <v>2.52E-2</v>
      </c>
      <c r="I39" s="32">
        <v>8.6599999999999996E-2</v>
      </c>
      <c r="J39" s="32" t="s">
        <v>52</v>
      </c>
      <c r="K39" s="52"/>
    </row>
    <row r="40" spans="2:11" x14ac:dyDescent="0.25">
      <c r="B40" s="49">
        <v>2021</v>
      </c>
      <c r="C40" s="32">
        <v>5.0700000000000002E-2</v>
      </c>
      <c r="D40" s="32">
        <v>0.65390000000000004</v>
      </c>
      <c r="E40" s="32">
        <v>1.8E-3</v>
      </c>
      <c r="F40" s="111">
        <v>2.58E-2</v>
      </c>
      <c r="G40" s="32">
        <v>0.1133</v>
      </c>
      <c r="H40" s="32">
        <v>2.7400000000000001E-2</v>
      </c>
      <c r="I40" s="32">
        <v>0.12709999999999999</v>
      </c>
      <c r="J40" s="32" t="s">
        <v>52</v>
      </c>
      <c r="K40" s="52"/>
    </row>
    <row r="41" spans="2:11" x14ac:dyDescent="0.25">
      <c r="B41" s="49">
        <v>2022</v>
      </c>
      <c r="C41" s="32">
        <v>3.9600000000000003E-2</v>
      </c>
      <c r="D41" s="32">
        <v>0.65959999999999996</v>
      </c>
      <c r="E41" s="32">
        <v>1.8E-3</v>
      </c>
      <c r="F41" s="111">
        <v>2.4400000000000002E-2</v>
      </c>
      <c r="G41" s="32">
        <v>0.11360000000000001</v>
      </c>
      <c r="H41" s="32">
        <v>2.6599999999999999E-2</v>
      </c>
      <c r="I41" s="32">
        <v>0.13439999999999999</v>
      </c>
      <c r="J41" s="32" t="s">
        <v>52</v>
      </c>
      <c r="K41" s="52"/>
    </row>
    <row r="42" spans="2:11" ht="15.75" thickBot="1" x14ac:dyDescent="0.3">
      <c r="B42" s="49">
        <v>2023</v>
      </c>
      <c r="C42" s="32">
        <v>4.6100000000000002E-2</v>
      </c>
      <c r="D42" s="32">
        <v>0.67579999999999996</v>
      </c>
      <c r="E42" s="32">
        <v>1E-4</v>
      </c>
      <c r="F42" s="111">
        <v>2.5100000000000001E-2</v>
      </c>
      <c r="G42" s="32">
        <v>0.10979999999999999</v>
      </c>
      <c r="H42" s="32">
        <v>2.8799999999999999E-2</v>
      </c>
      <c r="I42" s="32">
        <v>0.1143</v>
      </c>
      <c r="J42" s="32" t="s">
        <v>52</v>
      </c>
      <c r="K42" s="52"/>
    </row>
    <row r="43" spans="2:11" ht="49.5" customHeight="1" thickBot="1" x14ac:dyDescent="0.3">
      <c r="B43" s="150"/>
      <c r="C43" s="151" t="s">
        <v>9</v>
      </c>
      <c r="D43" s="152"/>
      <c r="E43" s="152"/>
      <c r="F43" s="151" t="s">
        <v>76</v>
      </c>
      <c r="G43" s="151" t="s">
        <v>10</v>
      </c>
      <c r="H43" s="153" t="s">
        <v>11</v>
      </c>
      <c r="I43" s="152"/>
      <c r="J43" s="152"/>
      <c r="K43" s="154"/>
    </row>
    <row r="44" spans="2:11" ht="15.75" thickBot="1" x14ac:dyDescent="0.3">
      <c r="B44" s="46" t="s">
        <v>13</v>
      </c>
      <c r="C44" s="53"/>
      <c r="D44" s="54"/>
      <c r="E44" s="54"/>
      <c r="F44" s="54"/>
      <c r="G44" s="53"/>
      <c r="H44" s="53"/>
      <c r="I44" s="55"/>
      <c r="J44" s="58"/>
      <c r="K44" s="48"/>
    </row>
    <row r="45" spans="2:11" x14ac:dyDescent="0.25">
      <c r="B45" s="142">
        <v>2012</v>
      </c>
      <c r="C45" s="143">
        <v>3.4000000000000002E-2</v>
      </c>
      <c r="D45" s="144">
        <v>0.70499999999999996</v>
      </c>
      <c r="E45" s="144">
        <v>1E-3</v>
      </c>
      <c r="F45" s="144">
        <v>0.01</v>
      </c>
      <c r="G45" s="143">
        <v>0.13800000000000001</v>
      </c>
      <c r="H45" s="143">
        <v>3.9E-2</v>
      </c>
      <c r="I45" s="144">
        <v>4.5999999999999999E-2</v>
      </c>
      <c r="J45" s="144">
        <v>2.7000000000000003E-2</v>
      </c>
      <c r="K45" s="145"/>
    </row>
    <row r="46" spans="2:11" x14ac:dyDescent="0.25">
      <c r="B46" s="49">
        <v>2013</v>
      </c>
      <c r="C46" s="36">
        <v>2.1999999999999999E-2</v>
      </c>
      <c r="D46" s="37">
        <v>0.73499999999999999</v>
      </c>
      <c r="E46" s="37">
        <v>1E-3</v>
      </c>
      <c r="F46" s="37">
        <v>8.9999999999999993E-3</v>
      </c>
      <c r="G46" s="36">
        <v>0.124</v>
      </c>
      <c r="H46" s="36">
        <v>6.3E-2</v>
      </c>
      <c r="I46" s="37">
        <v>4.5999999999999999E-2</v>
      </c>
      <c r="J46" s="37" t="s">
        <v>50</v>
      </c>
      <c r="K46" s="52"/>
    </row>
    <row r="47" spans="2:11" x14ac:dyDescent="0.25">
      <c r="B47" s="49">
        <v>2014</v>
      </c>
      <c r="C47" s="36">
        <v>3.3000000000000002E-2</v>
      </c>
      <c r="D47" s="37">
        <v>0.69899999999999995</v>
      </c>
      <c r="E47" s="37">
        <v>1E-3</v>
      </c>
      <c r="F47" s="37">
        <v>6.0000000000000001E-3</v>
      </c>
      <c r="G47" s="36">
        <v>0.13100000000000001</v>
      </c>
      <c r="H47" s="36">
        <v>8.3000000000000004E-2</v>
      </c>
      <c r="I47" s="37">
        <v>4.7E-2</v>
      </c>
      <c r="J47" s="37" t="s">
        <v>50</v>
      </c>
      <c r="K47" s="52"/>
    </row>
    <row r="48" spans="2:11" x14ac:dyDescent="0.25">
      <c r="B48" s="49">
        <v>2015</v>
      </c>
      <c r="C48" s="36">
        <v>3.3000000000000002E-2</v>
      </c>
      <c r="D48" s="37">
        <v>0.74</v>
      </c>
      <c r="E48" s="37">
        <v>1E-3</v>
      </c>
      <c r="F48" s="37">
        <v>7.0000000000000001E-3</v>
      </c>
      <c r="G48" s="36">
        <v>8.4000000000000005E-2</v>
      </c>
      <c r="H48" s="36">
        <v>7.2999999999999995E-2</v>
      </c>
      <c r="I48" s="37">
        <v>6.2E-2</v>
      </c>
      <c r="J48" s="37" t="s">
        <v>50</v>
      </c>
      <c r="K48" s="52"/>
    </row>
    <row r="49" spans="1:11" x14ac:dyDescent="0.25">
      <c r="B49" s="49">
        <v>2016</v>
      </c>
      <c r="C49" s="36">
        <v>3.15E-2</v>
      </c>
      <c r="D49" s="37">
        <v>0.71750000000000003</v>
      </c>
      <c r="E49" s="37">
        <v>5.0000000000000001E-4</v>
      </c>
      <c r="F49" s="37">
        <v>6.4999999999999997E-3</v>
      </c>
      <c r="G49" s="36">
        <v>0.1275</v>
      </c>
      <c r="H49" s="36">
        <v>7.7499999999999999E-2</v>
      </c>
      <c r="I49" s="37">
        <v>3.9E-2</v>
      </c>
      <c r="J49" s="37" t="s">
        <v>50</v>
      </c>
      <c r="K49" s="52"/>
    </row>
    <row r="50" spans="1:11" x14ac:dyDescent="0.25">
      <c r="B50" s="49">
        <v>2017</v>
      </c>
      <c r="C50" s="36">
        <v>2.6499999999999999E-2</v>
      </c>
      <c r="D50" s="37">
        <v>0.70040000000000002</v>
      </c>
      <c r="E50" s="37">
        <v>1E-4</v>
      </c>
      <c r="F50" s="37">
        <v>6.0000000000000001E-3</v>
      </c>
      <c r="G50" s="36">
        <v>0.1305</v>
      </c>
      <c r="H50" s="36">
        <v>7.5499999999999998E-2</v>
      </c>
      <c r="I50" s="37">
        <v>6.0999999999999999E-2</v>
      </c>
      <c r="J50" s="37" t="s">
        <v>50</v>
      </c>
      <c r="K50" s="52"/>
    </row>
    <row r="51" spans="1:11" x14ac:dyDescent="0.25">
      <c r="B51" s="49">
        <v>2018</v>
      </c>
      <c r="C51" s="36">
        <v>2.5000000000000001E-2</v>
      </c>
      <c r="D51" s="37">
        <v>0.70799999999999996</v>
      </c>
      <c r="E51" s="37">
        <v>1E-3</v>
      </c>
      <c r="F51" s="37">
        <v>6.0000000000000001E-3</v>
      </c>
      <c r="G51" s="36">
        <v>0.13800000000000001</v>
      </c>
      <c r="H51" s="42">
        <v>6.3E-2</v>
      </c>
      <c r="I51" s="37">
        <v>5.8999999999999997E-2</v>
      </c>
      <c r="J51" s="37" t="s">
        <v>50</v>
      </c>
      <c r="K51" s="52"/>
    </row>
    <row r="52" spans="1:11" s="38" customFormat="1" x14ac:dyDescent="0.25">
      <c r="B52" s="49">
        <v>2019</v>
      </c>
      <c r="C52" s="36">
        <v>2.5999999999999999E-2</v>
      </c>
      <c r="D52" s="37">
        <v>0.67700000000000005</v>
      </c>
      <c r="E52" s="37">
        <v>1E-3</v>
      </c>
      <c r="F52" s="37">
        <v>5.0000000000000001E-3</v>
      </c>
      <c r="G52" s="36">
        <v>0.13400000000000001</v>
      </c>
      <c r="H52" s="36">
        <v>5.0999999999999997E-2</v>
      </c>
      <c r="I52" s="37">
        <v>8.4000000000000005E-2</v>
      </c>
      <c r="J52" s="37">
        <v>2.1999999999999999E-2</v>
      </c>
      <c r="K52" s="60"/>
    </row>
    <row r="53" spans="1:11" s="38" customFormat="1" x14ac:dyDescent="0.25">
      <c r="B53" s="49">
        <v>2020</v>
      </c>
      <c r="C53" s="36">
        <v>2.1999999999999999E-2</v>
      </c>
      <c r="D53" s="37">
        <v>0.70299999999999996</v>
      </c>
      <c r="E53" s="37">
        <v>1E-3</v>
      </c>
      <c r="F53" s="112">
        <v>1.7999999999999999E-2</v>
      </c>
      <c r="G53" s="36">
        <v>0.13</v>
      </c>
      <c r="H53" s="36">
        <v>4.2999999999999997E-2</v>
      </c>
      <c r="I53" s="37">
        <v>6.0999999999999999E-2</v>
      </c>
      <c r="J53" s="37">
        <v>2.1999999999999999E-2</v>
      </c>
      <c r="K53" s="60"/>
    </row>
    <row r="54" spans="1:11" s="38" customFormat="1" x14ac:dyDescent="0.25">
      <c r="B54" s="49">
        <v>2021</v>
      </c>
      <c r="C54" s="36">
        <v>0.02</v>
      </c>
      <c r="D54" s="37">
        <v>0.65900000000000003</v>
      </c>
      <c r="E54" s="37">
        <v>1E-3</v>
      </c>
      <c r="F54" s="112">
        <v>1.7500000000000002E-2</v>
      </c>
      <c r="G54" s="36">
        <v>0.125</v>
      </c>
      <c r="H54" s="36">
        <v>4.2000000000000003E-2</v>
      </c>
      <c r="I54" s="37">
        <v>0.1105</v>
      </c>
      <c r="J54" s="37">
        <v>2.5000000000000001E-2</v>
      </c>
      <c r="K54" s="60"/>
    </row>
    <row r="55" spans="1:11" s="38" customFormat="1" x14ac:dyDescent="0.25">
      <c r="B55" s="49">
        <v>2022</v>
      </c>
      <c r="C55" s="36">
        <v>2.3699999999999999E-2</v>
      </c>
      <c r="D55" s="37">
        <v>0.67200000000000004</v>
      </c>
      <c r="E55" s="37">
        <v>5.0000000000000001E-4</v>
      </c>
      <c r="F55" s="112">
        <v>1.7500000000000002E-2</v>
      </c>
      <c r="G55" s="36">
        <v>0.1231</v>
      </c>
      <c r="H55" s="36">
        <v>4.2099999999999999E-2</v>
      </c>
      <c r="I55" s="37">
        <v>0.10349999999999999</v>
      </c>
      <c r="J55" s="37">
        <v>1.7600000000000001E-2</v>
      </c>
      <c r="K55" s="60"/>
    </row>
    <row r="56" spans="1:11" s="38" customFormat="1" ht="15.75" thickBot="1" x14ac:dyDescent="0.3">
      <c r="B56" s="50">
        <v>2023</v>
      </c>
      <c r="C56" s="118">
        <v>2.1000000000000001E-2</v>
      </c>
      <c r="D56" s="119">
        <v>0.68500000000000005</v>
      </c>
      <c r="E56" s="119">
        <v>5.0000000000000001E-4</v>
      </c>
      <c r="F56" s="121">
        <v>1.7999999999999999E-2</v>
      </c>
      <c r="G56" s="118">
        <v>0.125</v>
      </c>
      <c r="H56" s="118">
        <v>3.4500000000000003E-2</v>
      </c>
      <c r="I56" s="119">
        <v>8.8999999999999996E-2</v>
      </c>
      <c r="J56" s="119">
        <v>2.7E-2</v>
      </c>
      <c r="K56" s="65"/>
    </row>
    <row r="57" spans="1:11" ht="44.25" customHeight="1" thickBot="1" x14ac:dyDescent="0.3">
      <c r="B57" s="135"/>
      <c r="C57" s="136" t="s">
        <v>14</v>
      </c>
      <c r="D57" s="139"/>
      <c r="E57" s="136" t="s">
        <v>73</v>
      </c>
      <c r="F57" s="136" t="s">
        <v>76</v>
      </c>
      <c r="G57" s="139"/>
      <c r="H57" s="141"/>
      <c r="I57" s="139"/>
      <c r="J57" s="136" t="s">
        <v>53</v>
      </c>
      <c r="K57" s="140"/>
    </row>
    <row r="58" spans="1:11" ht="15.75" thickBot="1" x14ac:dyDescent="0.3">
      <c r="B58" s="56" t="s">
        <v>15</v>
      </c>
      <c r="C58" s="53"/>
      <c r="D58" s="54"/>
      <c r="E58" s="54"/>
      <c r="F58" s="54"/>
      <c r="G58" s="55"/>
      <c r="H58" s="54"/>
      <c r="I58" s="55"/>
      <c r="J58" s="58"/>
      <c r="K58" s="57"/>
    </row>
    <row r="59" spans="1:11" x14ac:dyDescent="0.25">
      <c r="A59" s="2"/>
      <c r="B59" s="49">
        <v>2013</v>
      </c>
      <c r="C59" s="36">
        <v>8.5000000000000006E-2</v>
      </c>
      <c r="D59" s="37">
        <v>0.72899999999999998</v>
      </c>
      <c r="E59" s="37" t="s">
        <v>16</v>
      </c>
      <c r="F59" s="37">
        <v>6.0000000000000001E-3</v>
      </c>
      <c r="G59" s="32">
        <v>0.158</v>
      </c>
      <c r="H59" s="37" t="s">
        <v>16</v>
      </c>
      <c r="I59" s="32">
        <v>1.7000000000000001E-2</v>
      </c>
      <c r="J59" s="32">
        <v>6.0000000000000001E-3</v>
      </c>
      <c r="K59" s="3"/>
    </row>
    <row r="60" spans="1:11" x14ac:dyDescent="0.25">
      <c r="A60" s="2"/>
      <c r="B60" s="49">
        <v>2014</v>
      </c>
      <c r="C60" s="36">
        <v>0.11</v>
      </c>
      <c r="D60" s="37">
        <v>0.70499999999999996</v>
      </c>
      <c r="E60" s="37" t="s">
        <v>16</v>
      </c>
      <c r="F60" s="37">
        <v>5.0000000000000001E-3</v>
      </c>
      <c r="G60" s="36">
        <v>0.14599999999999999</v>
      </c>
      <c r="H60" s="37" t="s">
        <v>16</v>
      </c>
      <c r="I60" s="36">
        <v>2.8000000000000001E-2</v>
      </c>
      <c r="J60" s="36">
        <v>7.0000000000000001E-3</v>
      </c>
      <c r="K60" s="33"/>
    </row>
    <row r="61" spans="1:11" x14ac:dyDescent="0.25">
      <c r="A61" s="2"/>
      <c r="B61" s="49">
        <v>2015</v>
      </c>
      <c r="C61" s="36">
        <v>0.106</v>
      </c>
      <c r="D61" s="37">
        <v>0.70799999999999996</v>
      </c>
      <c r="E61" s="37" t="s">
        <v>16</v>
      </c>
      <c r="F61" s="37">
        <v>5.0000000000000001E-3</v>
      </c>
      <c r="G61" s="32">
        <v>0.14699999999999999</v>
      </c>
      <c r="H61" s="37" t="s">
        <v>16</v>
      </c>
      <c r="I61" s="32">
        <v>2.7E-2</v>
      </c>
      <c r="J61" s="32">
        <v>8.0000000000000002E-3</v>
      </c>
      <c r="K61" s="33"/>
    </row>
    <row r="62" spans="1:11" x14ac:dyDescent="0.25">
      <c r="A62" s="2"/>
      <c r="B62" s="49">
        <v>2016</v>
      </c>
      <c r="C62" s="36">
        <v>0.108</v>
      </c>
      <c r="D62" s="37">
        <v>0.70799999999999996</v>
      </c>
      <c r="E62" s="37" t="s">
        <v>16</v>
      </c>
      <c r="F62" s="37">
        <v>5.0000000000000001E-3</v>
      </c>
      <c r="G62" s="32">
        <v>0.14199999999999999</v>
      </c>
      <c r="H62" s="37" t="s">
        <v>16</v>
      </c>
      <c r="I62" s="32">
        <v>0.03</v>
      </c>
      <c r="J62" s="32">
        <v>7.0000000000000001E-3</v>
      </c>
      <c r="K62" s="33"/>
    </row>
    <row r="63" spans="1:11" x14ac:dyDescent="0.25">
      <c r="A63" s="2"/>
      <c r="B63" s="49">
        <v>2017</v>
      </c>
      <c r="C63" s="36">
        <v>0.10299999999999999</v>
      </c>
      <c r="D63" s="37">
        <v>0.71199999999999997</v>
      </c>
      <c r="E63" s="37" t="s">
        <v>16</v>
      </c>
      <c r="F63" s="37">
        <v>5.0000000000000001E-3</v>
      </c>
      <c r="G63" s="32">
        <v>0.14399999999999999</v>
      </c>
      <c r="H63" s="37" t="s">
        <v>16</v>
      </c>
      <c r="I63" s="32">
        <v>2.7E-2</v>
      </c>
      <c r="J63" s="32">
        <v>8.9999999999999993E-3</v>
      </c>
      <c r="K63" s="33"/>
    </row>
    <row r="64" spans="1:11" x14ac:dyDescent="0.25">
      <c r="A64" s="2"/>
      <c r="B64" s="49">
        <v>2018</v>
      </c>
      <c r="C64" s="36">
        <v>0.10299999999999999</v>
      </c>
      <c r="D64" s="37">
        <v>0.73099999999999998</v>
      </c>
      <c r="E64" s="107">
        <v>7.0000000000000001E-3</v>
      </c>
      <c r="F64" s="37">
        <v>5.0000000000000001E-3</v>
      </c>
      <c r="G64" s="42">
        <v>0.13400000000000001</v>
      </c>
      <c r="H64" s="37" t="s">
        <v>16</v>
      </c>
      <c r="I64" s="100">
        <v>0.02</v>
      </c>
      <c r="J64" s="100" t="s">
        <v>16</v>
      </c>
      <c r="K64" s="110"/>
    </row>
    <row r="65" spans="1:11" x14ac:dyDescent="0.25">
      <c r="A65" s="2"/>
      <c r="B65" s="49">
        <v>2019</v>
      </c>
      <c r="C65" s="37" t="s">
        <v>16</v>
      </c>
      <c r="D65" s="37">
        <v>0.72</v>
      </c>
      <c r="E65" s="37" t="s">
        <v>16</v>
      </c>
      <c r="F65" s="37">
        <v>5.0000000000000001E-3</v>
      </c>
      <c r="G65" s="32">
        <v>0.14499999999999999</v>
      </c>
      <c r="H65" s="37">
        <v>0.104</v>
      </c>
      <c r="I65" s="32">
        <v>1.7000000000000001E-2</v>
      </c>
      <c r="J65" s="32">
        <v>8.9999999999999993E-3</v>
      </c>
      <c r="K65" s="33"/>
    </row>
    <row r="66" spans="1:11" x14ac:dyDescent="0.25">
      <c r="A66" s="2"/>
      <c r="B66" s="49">
        <v>2020</v>
      </c>
      <c r="C66" s="42">
        <v>9.6000000000000002E-2</v>
      </c>
      <c r="D66" s="36">
        <v>0.70200000000000007</v>
      </c>
      <c r="E66" s="42">
        <v>8.9999999999999993E-3</v>
      </c>
      <c r="F66" s="37">
        <v>5.0000000000000001E-3</v>
      </c>
      <c r="G66" s="42">
        <v>0.14799999999999999</v>
      </c>
      <c r="H66" s="37" t="s">
        <v>16</v>
      </c>
      <c r="I66" s="37">
        <v>0.04</v>
      </c>
      <c r="J66" s="37" t="s">
        <v>52</v>
      </c>
      <c r="K66" s="33"/>
    </row>
    <row r="67" spans="1:11" x14ac:dyDescent="0.25">
      <c r="A67" s="2"/>
      <c r="B67" s="49">
        <v>2021</v>
      </c>
      <c r="C67" s="42">
        <v>9.2999999999999999E-2</v>
      </c>
      <c r="D67" s="36">
        <v>0.70699999999999996</v>
      </c>
      <c r="E67" s="107">
        <v>8.9999999999999993E-3</v>
      </c>
      <c r="F67" s="112">
        <v>2.9000000000000001E-2</v>
      </c>
      <c r="G67" s="42">
        <v>0.13100000000000001</v>
      </c>
      <c r="H67" s="37" t="s">
        <v>16</v>
      </c>
      <c r="I67" s="37">
        <v>3.2000000000000001E-2</v>
      </c>
      <c r="J67" s="37" t="s">
        <v>52</v>
      </c>
      <c r="K67" s="33"/>
    </row>
    <row r="68" spans="1:11" x14ac:dyDescent="0.25">
      <c r="A68" s="2"/>
      <c r="B68" s="49">
        <v>2022</v>
      </c>
      <c r="C68" s="37">
        <v>9.2999999999999999E-2</v>
      </c>
      <c r="D68" s="37">
        <v>0.70899999999999996</v>
      </c>
      <c r="E68" s="107">
        <v>7.0000000000000001E-3</v>
      </c>
      <c r="F68" s="112">
        <v>2.5999999999999999E-2</v>
      </c>
      <c r="G68" s="32">
        <v>0.13300000000000001</v>
      </c>
      <c r="H68" s="37" t="s">
        <v>16</v>
      </c>
      <c r="I68" s="32">
        <v>3.2000000000000001E-2</v>
      </c>
      <c r="J68" s="37" t="s">
        <v>52</v>
      </c>
      <c r="K68" s="33"/>
    </row>
    <row r="69" spans="1:11" ht="15.75" thickBot="1" x14ac:dyDescent="0.3">
      <c r="A69" s="2"/>
      <c r="B69" s="50">
        <v>2023</v>
      </c>
      <c r="C69" s="68">
        <v>8.5000000000000006E-2</v>
      </c>
      <c r="D69" s="118">
        <v>0.71499999999999997</v>
      </c>
      <c r="E69" s="122">
        <v>7.0000000000000001E-3</v>
      </c>
      <c r="F69" s="121">
        <v>2.5999999999999999E-2</v>
      </c>
      <c r="G69" s="68">
        <v>0.13500000000000001</v>
      </c>
      <c r="H69" s="149" t="s">
        <v>52</v>
      </c>
      <c r="I69" s="119">
        <v>3.2000000000000001E-2</v>
      </c>
      <c r="J69" s="149" t="s">
        <v>52</v>
      </c>
      <c r="K69" s="120"/>
    </row>
    <row r="70" spans="1:11" ht="30" customHeight="1" thickBot="1" x14ac:dyDescent="0.3">
      <c r="B70" s="114"/>
      <c r="C70" s="115"/>
      <c r="D70" s="115"/>
      <c r="E70" s="115"/>
      <c r="F70" s="115"/>
      <c r="G70" s="115"/>
      <c r="H70" s="116" t="s">
        <v>17</v>
      </c>
      <c r="I70" s="115"/>
      <c r="J70" s="115"/>
      <c r="K70" s="117"/>
    </row>
    <row r="71" spans="1:11" ht="15.75" thickBot="1" x14ac:dyDescent="0.3">
      <c r="B71" s="46" t="s">
        <v>18</v>
      </c>
      <c r="C71" s="54"/>
      <c r="D71" s="54"/>
      <c r="E71" s="54"/>
      <c r="F71" s="54"/>
      <c r="G71" s="54"/>
      <c r="H71" s="58"/>
      <c r="I71" s="54"/>
      <c r="J71" s="58"/>
      <c r="K71" s="48"/>
    </row>
    <row r="72" spans="1:11" x14ac:dyDescent="0.25">
      <c r="B72" s="108">
        <v>2012</v>
      </c>
      <c r="C72" s="88">
        <v>4.0500000000000001E-2</v>
      </c>
      <c r="D72" s="88">
        <v>0.72309999999999997</v>
      </c>
      <c r="E72" s="88">
        <v>6.7999999999999996E-3</v>
      </c>
      <c r="F72" s="88">
        <v>7.1000000000000004E-3</v>
      </c>
      <c r="G72" s="88">
        <v>0.1002</v>
      </c>
      <c r="H72" s="109">
        <v>7.1199999999999999E-2</v>
      </c>
      <c r="I72" s="88">
        <v>5.11E-2</v>
      </c>
      <c r="J72" s="88" t="s">
        <v>16</v>
      </c>
      <c r="K72" s="113"/>
    </row>
    <row r="73" spans="1:11" x14ac:dyDescent="0.25">
      <c r="B73" s="49">
        <v>2013</v>
      </c>
      <c r="C73" s="37">
        <v>3.7600000000000001E-2</v>
      </c>
      <c r="D73" s="37">
        <v>0.71109999999999995</v>
      </c>
      <c r="E73" s="37">
        <v>6.4999999999999997E-3</v>
      </c>
      <c r="F73" s="37">
        <v>6.4999999999999997E-3</v>
      </c>
      <c r="G73" s="37">
        <v>9.6699999999999994E-2</v>
      </c>
      <c r="H73" s="39">
        <v>5.28E-2</v>
      </c>
      <c r="I73" s="37">
        <v>7.5999999999999998E-2</v>
      </c>
      <c r="J73" s="37">
        <v>1.3000000000000001E-2</v>
      </c>
      <c r="K73" s="3"/>
    </row>
    <row r="74" spans="1:11" x14ac:dyDescent="0.25">
      <c r="B74" s="49">
        <v>2014</v>
      </c>
      <c r="C74" s="37">
        <v>3.9600000000000003E-2</v>
      </c>
      <c r="D74" s="37">
        <v>0.70199999999999996</v>
      </c>
      <c r="E74" s="37">
        <v>6.6E-3</v>
      </c>
      <c r="F74" s="37">
        <v>6.6E-3</v>
      </c>
      <c r="G74" s="37">
        <v>9.7900000000000001E-2</v>
      </c>
      <c r="H74" s="39">
        <v>5.5100000000000003E-2</v>
      </c>
      <c r="I74" s="37">
        <v>7.9399999999999998E-2</v>
      </c>
      <c r="J74" s="37">
        <v>1.46E-2</v>
      </c>
      <c r="K74" s="3"/>
    </row>
    <row r="75" spans="1:11" x14ac:dyDescent="0.25">
      <c r="B75" s="49">
        <v>2015</v>
      </c>
      <c r="C75" s="37">
        <v>3.49E-2</v>
      </c>
      <c r="D75" s="37">
        <v>0.6915</v>
      </c>
      <c r="E75" s="37">
        <v>7.0000000000000001E-3</v>
      </c>
      <c r="F75" s="37">
        <v>6.4999999999999997E-3</v>
      </c>
      <c r="G75" s="37">
        <v>9.8000000000000004E-2</v>
      </c>
      <c r="H75" s="39">
        <v>5.7799999999999997E-2</v>
      </c>
      <c r="I75" s="37">
        <v>9.4E-2</v>
      </c>
      <c r="J75" s="37">
        <v>1.03E-2</v>
      </c>
      <c r="K75" s="3"/>
    </row>
    <row r="76" spans="1:11" x14ac:dyDescent="0.25">
      <c r="B76" s="49">
        <v>2016</v>
      </c>
      <c r="C76" s="37">
        <v>3.56E-2</v>
      </c>
      <c r="D76" s="37">
        <v>0.69879999999999998</v>
      </c>
      <c r="E76" s="37">
        <v>7.0000000000000001E-3</v>
      </c>
      <c r="F76" s="37">
        <v>6.4000000000000003E-3</v>
      </c>
      <c r="G76" s="37">
        <v>9.5899999999999999E-2</v>
      </c>
      <c r="H76" s="39">
        <v>5.8799999999999998E-2</v>
      </c>
      <c r="I76" s="37">
        <v>7.6600000000000001E-2</v>
      </c>
      <c r="J76" s="37">
        <v>2.0899999999999998E-2</v>
      </c>
      <c r="K76" s="3"/>
    </row>
    <row r="77" spans="1:11" x14ac:dyDescent="0.25">
      <c r="B77" s="49">
        <v>2017</v>
      </c>
      <c r="C77" s="41">
        <v>3.2599999999999997E-2</v>
      </c>
      <c r="D77" s="41">
        <v>0.69910000000000005</v>
      </c>
      <c r="E77" s="41">
        <v>7.4000000000000003E-3</v>
      </c>
      <c r="F77" s="41">
        <v>6.4999999999999997E-3</v>
      </c>
      <c r="G77" s="41">
        <v>9.7199999999999995E-2</v>
      </c>
      <c r="H77" s="42">
        <v>6.3E-2</v>
      </c>
      <c r="I77" s="41">
        <v>7.4700000000000003E-2</v>
      </c>
      <c r="J77" s="41">
        <v>1.95E-2</v>
      </c>
      <c r="K77" s="64"/>
    </row>
    <row r="78" spans="1:11" x14ac:dyDescent="0.25">
      <c r="B78" s="49">
        <v>2018</v>
      </c>
      <c r="C78" s="41">
        <v>3.32E-2</v>
      </c>
      <c r="D78" s="41">
        <v>0.70479999999999998</v>
      </c>
      <c r="E78" s="41">
        <v>7.4000000000000003E-3</v>
      </c>
      <c r="F78" s="41">
        <v>6.4000000000000003E-3</v>
      </c>
      <c r="G78" s="41">
        <v>9.7299999999999998E-2</v>
      </c>
      <c r="H78" s="39">
        <v>6.8699999999999997E-2</v>
      </c>
      <c r="I78" s="41">
        <v>6.2E-2</v>
      </c>
      <c r="J78" s="41">
        <v>2.0199999999999999E-2</v>
      </c>
      <c r="K78" s="64"/>
    </row>
    <row r="79" spans="1:11" x14ac:dyDescent="0.25">
      <c r="B79" s="49">
        <v>2019</v>
      </c>
      <c r="C79" s="41">
        <v>2.8400000000000002E-2</v>
      </c>
      <c r="D79" s="41">
        <v>0.7</v>
      </c>
      <c r="E79" s="41">
        <v>7.1999999999999998E-3</v>
      </c>
      <c r="F79" s="41">
        <v>6.0000000000000001E-3</v>
      </c>
      <c r="G79" s="41">
        <v>9.2299999999999993E-2</v>
      </c>
      <c r="H79" s="42">
        <v>6.9800000000000001E-2</v>
      </c>
      <c r="I79" s="41">
        <v>7.3099999999999998E-2</v>
      </c>
      <c r="J79" s="41">
        <v>2.3099999999999999E-2</v>
      </c>
      <c r="K79" s="64"/>
    </row>
    <row r="80" spans="1:11" x14ac:dyDescent="0.25">
      <c r="B80" s="49">
        <v>2020</v>
      </c>
      <c r="C80" s="41">
        <v>3.2399999999999998E-2</v>
      </c>
      <c r="D80" s="41">
        <v>0.67610000000000003</v>
      </c>
      <c r="E80" s="41">
        <v>7.4999999999999997E-3</v>
      </c>
      <c r="F80" s="41">
        <v>6.1999999999999998E-3</v>
      </c>
      <c r="G80" s="41">
        <v>9.9000000000000005E-2</v>
      </c>
      <c r="H80" s="42">
        <v>7.0300000000000001E-2</v>
      </c>
      <c r="I80" s="41">
        <v>6.3E-2</v>
      </c>
      <c r="J80" s="41">
        <v>2.5899999999999999E-2</v>
      </c>
      <c r="K80" s="64">
        <v>1.9599999999999999E-2</v>
      </c>
    </row>
    <row r="81" spans="1:12" x14ac:dyDescent="0.25">
      <c r="B81" s="49">
        <v>2021</v>
      </c>
      <c r="C81" s="41">
        <v>2.98E-2</v>
      </c>
      <c r="D81" s="41">
        <v>0.64039999999999997</v>
      </c>
      <c r="E81" s="41">
        <v>6.7000000000000002E-3</v>
      </c>
      <c r="F81" s="41">
        <v>5.5999999999999999E-3</v>
      </c>
      <c r="G81" s="41">
        <v>9.1899999999999996E-2</v>
      </c>
      <c r="H81" s="42">
        <v>6.0900000000000003E-2</v>
      </c>
      <c r="I81" s="41">
        <v>0.11940000000000001</v>
      </c>
      <c r="J81" s="41">
        <v>2.5999999999999999E-2</v>
      </c>
      <c r="K81" s="64">
        <v>1.9300000000000001E-2</v>
      </c>
    </row>
    <row r="82" spans="1:12" x14ac:dyDescent="0.25">
      <c r="B82" s="49">
        <v>2022</v>
      </c>
      <c r="C82" s="41">
        <v>3.2800000000000003E-2</v>
      </c>
      <c r="D82" s="41">
        <v>0.65129999999999999</v>
      </c>
      <c r="E82" s="41">
        <v>6.4999999999999997E-3</v>
      </c>
      <c r="F82" s="41">
        <v>5.8999999999999999E-3</v>
      </c>
      <c r="G82" s="41">
        <v>9.2499999999999999E-2</v>
      </c>
      <c r="H82" s="42">
        <v>6.25E-2</v>
      </c>
      <c r="I82" s="41">
        <v>0.113</v>
      </c>
      <c r="J82" s="41">
        <v>1.66E-2</v>
      </c>
      <c r="K82" s="64">
        <v>1.89E-2</v>
      </c>
    </row>
    <row r="83" spans="1:12" ht="15.75" thickBot="1" x14ac:dyDescent="0.3">
      <c r="B83" s="146">
        <v>2023</v>
      </c>
      <c r="C83" s="68">
        <v>2.76E-2</v>
      </c>
      <c r="D83" s="148">
        <v>0.65</v>
      </c>
      <c r="E83" s="67">
        <v>6.1000000000000004E-3</v>
      </c>
      <c r="F83" s="67">
        <v>5.7999999999999996E-3</v>
      </c>
      <c r="G83" s="67">
        <v>9.4200000000000006E-2</v>
      </c>
      <c r="H83" s="67">
        <v>5.8400000000000001E-2</v>
      </c>
      <c r="I83" s="67">
        <v>0.11310000000000001</v>
      </c>
      <c r="J83" s="68">
        <v>2.5499999999999998E-2</v>
      </c>
      <c r="K83" s="147">
        <v>1.9300000000000001E-2</v>
      </c>
      <c r="L83" s="41"/>
    </row>
    <row r="87" spans="1:12" x14ac:dyDescent="0.25">
      <c r="A87" s="8"/>
    </row>
    <row r="88" spans="1:12" x14ac:dyDescent="0.25">
      <c r="A88" s="8"/>
      <c r="B88" s="5"/>
      <c r="C88" s="6"/>
      <c r="D88" s="6"/>
      <c r="E88" s="6"/>
      <c r="F88" s="6"/>
      <c r="G88" s="6"/>
      <c r="H88" s="6"/>
      <c r="I88" s="6"/>
      <c r="J88" s="6"/>
      <c r="K88" s="6"/>
      <c r="L88" s="7"/>
    </row>
  </sheetData>
  <mergeCells count="1">
    <mergeCell ref="C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55"/>
  <sheetViews>
    <sheetView zoomScale="90" zoomScaleNormal="90" workbookViewId="0">
      <selection activeCell="H29" sqref="H29"/>
    </sheetView>
  </sheetViews>
  <sheetFormatPr baseColWidth="10" defaultRowHeight="15" x14ac:dyDescent="0.25"/>
  <cols>
    <col min="1" max="1" width="11.42578125" style="1"/>
    <col min="2" max="2" width="22.5703125" style="1" customWidth="1"/>
    <col min="3" max="3" width="22.85546875" style="1" customWidth="1"/>
    <col min="4" max="4" width="23.5703125" style="1" customWidth="1"/>
    <col min="5" max="5" width="21.7109375" style="1" customWidth="1"/>
    <col min="6" max="6" width="19.42578125" style="1" customWidth="1"/>
    <col min="7" max="7" width="17.42578125" style="1" bestFit="1" customWidth="1"/>
    <col min="8" max="8" width="29.42578125" style="1" customWidth="1"/>
    <col min="9" max="9" width="20" style="1" customWidth="1"/>
    <col min="10" max="10" width="21" style="1" customWidth="1"/>
    <col min="11" max="11" width="19.28515625" style="73" customWidth="1"/>
    <col min="12" max="16384" width="11.42578125" style="1"/>
  </cols>
  <sheetData>
    <row r="1" spans="2:12" ht="15.75" thickBot="1" x14ac:dyDescent="0.3">
      <c r="C1" s="160" t="s">
        <v>0</v>
      </c>
      <c r="D1" s="161"/>
      <c r="E1" s="161"/>
      <c r="F1" s="161"/>
      <c r="G1" s="161"/>
      <c r="H1" s="161"/>
      <c r="I1" s="161"/>
      <c r="J1" s="161"/>
      <c r="K1" s="162"/>
    </row>
    <row r="2" spans="2:12" ht="55.5" customHeight="1" thickBot="1" x14ac:dyDescent="0.3">
      <c r="B2" s="69"/>
      <c r="C2" s="84" t="s">
        <v>64</v>
      </c>
      <c r="D2" s="45" t="s">
        <v>19</v>
      </c>
      <c r="E2" s="45" t="s">
        <v>60</v>
      </c>
      <c r="F2" s="45" t="s">
        <v>20</v>
      </c>
      <c r="G2" s="45" t="s">
        <v>21</v>
      </c>
      <c r="H2" s="45" t="s">
        <v>22</v>
      </c>
      <c r="I2" s="45" t="s">
        <v>68</v>
      </c>
      <c r="J2" s="45" t="s">
        <v>23</v>
      </c>
      <c r="K2" s="85" t="s">
        <v>24</v>
      </c>
    </row>
    <row r="3" spans="2:12" ht="15.75" thickBot="1" x14ac:dyDescent="0.3">
      <c r="B3" s="56" t="s">
        <v>25</v>
      </c>
      <c r="C3" s="47"/>
      <c r="D3" s="47"/>
      <c r="E3" s="47"/>
      <c r="F3" s="47"/>
      <c r="G3" s="47"/>
      <c r="H3" s="47"/>
      <c r="I3" s="47"/>
      <c r="J3" s="47"/>
      <c r="K3" s="74"/>
    </row>
    <row r="4" spans="2:12" x14ac:dyDescent="0.25">
      <c r="B4" s="76">
        <v>2013</v>
      </c>
      <c r="C4" s="36">
        <f>7421728.01/K4</f>
        <v>0.74167630285760699</v>
      </c>
      <c r="D4" s="37">
        <f>7863/K4</f>
        <v>7.8577398168076546E-4</v>
      </c>
      <c r="E4" s="37">
        <f>399246.77/K4</f>
        <v>3.9897968222826499E-2</v>
      </c>
      <c r="F4" s="37">
        <f>11430/K4</f>
        <v>1.1422353568117955E-3</v>
      </c>
      <c r="G4" s="37">
        <f>1429138.05/K4</f>
        <v>0.14281819864173786</v>
      </c>
      <c r="H4" s="37">
        <f>(655284.83+10613.27)/K4</f>
        <v>6.6545262804356672E-2</v>
      </c>
      <c r="I4" s="37">
        <f>124729.41/K4</f>
        <v>1.2464596862316251E-2</v>
      </c>
      <c r="J4" s="37">
        <f>7021.21/K4</f>
        <v>7.016512956780881E-4</v>
      </c>
      <c r="K4" s="77">
        <v>10006694.27</v>
      </c>
      <c r="L4" s="2"/>
    </row>
    <row r="5" spans="2:12" x14ac:dyDescent="0.25">
      <c r="B5" s="78">
        <v>2014</v>
      </c>
      <c r="C5" s="37">
        <f>7315545.63/K5</f>
        <v>0.74525469254654164</v>
      </c>
      <c r="D5" s="37">
        <f>7859.6/K5</f>
        <v>8.0067900301495341E-4</v>
      </c>
      <c r="E5" s="37">
        <f>413995.27/K5</f>
        <v>4.217483332949596E-2</v>
      </c>
      <c r="F5" s="37">
        <f>12930/K5</f>
        <v>1.3172145540464332E-3</v>
      </c>
      <c r="G5" s="37">
        <f>1236468.19/K5</f>
        <v>0.12596240490977961</v>
      </c>
      <c r="H5" s="37">
        <f>(543278.29+9632.75)/K5</f>
        <v>5.6326563726291544E-2</v>
      </c>
      <c r="I5" s="37">
        <f>270105.17/K5</f>
        <v>2.751635429599273E-2</v>
      </c>
      <c r="J5" s="37">
        <f>6353.59/K5</f>
        <v>6.4725763483711347E-4</v>
      </c>
      <c r="K5" s="77">
        <v>9816168.4900000002</v>
      </c>
      <c r="L5" s="2"/>
    </row>
    <row r="6" spans="2:12" x14ac:dyDescent="0.25">
      <c r="B6" s="76">
        <v>2015</v>
      </c>
      <c r="C6" s="37">
        <f>7366319.63/K6</f>
        <v>0.7280242634917834</v>
      </c>
      <c r="D6" s="37">
        <f>8083.4/K6</f>
        <v>7.9889437698883584E-4</v>
      </c>
      <c r="E6" s="37">
        <f>365532.54/K6</f>
        <v>3.6126121534558076E-2</v>
      </c>
      <c r="F6" s="37">
        <f>12930/K6</f>
        <v>1.2778910228945306E-3</v>
      </c>
      <c r="G6" s="37">
        <f>1450598.4/K6</f>
        <v>0.14336478524247248</v>
      </c>
      <c r="H6" s="37">
        <f>(639584.99+10765.47)/K6</f>
        <v>6.4275097801185496E-2</v>
      </c>
      <c r="I6" s="37">
        <f>259049.53/K6</f>
        <v>2.5602248172625474E-2</v>
      </c>
      <c r="J6" s="37">
        <f>5369.73/K6</f>
        <v>5.3069835749168189E-4</v>
      </c>
      <c r="K6" s="77">
        <v>10118233.689999999</v>
      </c>
      <c r="L6" s="2"/>
    </row>
    <row r="7" spans="2:12" x14ac:dyDescent="0.25">
      <c r="B7" s="78">
        <v>2016</v>
      </c>
      <c r="C7" s="70">
        <f>1307202/K7</f>
        <v>0.12116497273560559</v>
      </c>
      <c r="D7" s="36">
        <f>9593/K7</f>
        <v>8.8917824747258985E-4</v>
      </c>
      <c r="E7" s="71">
        <f>439213/K7</f>
        <v>4.0710793871278912E-2</v>
      </c>
      <c r="F7" s="36">
        <f>12930/K7</f>
        <v>1.1984858479954744E-3</v>
      </c>
      <c r="G7" s="36">
        <f>7313183/K7</f>
        <v>0.6778612783682203</v>
      </c>
      <c r="H7" s="37">
        <f>(47228+1159434)/K7</f>
        <v>0.11184588788197333</v>
      </c>
      <c r="I7" s="37">
        <f>493444/K7</f>
        <v>4.5737482658799608E-2</v>
      </c>
      <c r="J7" s="37">
        <f>6388/K7</f>
        <v>5.921057692958307E-4</v>
      </c>
      <c r="K7" s="77">
        <v>10788613</v>
      </c>
      <c r="L7" s="2"/>
    </row>
    <row r="8" spans="2:12" x14ac:dyDescent="0.25">
      <c r="B8" s="78">
        <v>2017</v>
      </c>
      <c r="C8" s="72">
        <f>1320750.92/K8</f>
        <v>0.12214924835397932</v>
      </c>
      <c r="D8" s="72">
        <f>8790.4/K8</f>
        <v>8.1297747854744624E-4</v>
      </c>
      <c r="E8" s="72">
        <f>423660.22/K8</f>
        <v>3.9182086983124358E-2</v>
      </c>
      <c r="F8" s="72">
        <f>12930/K8</f>
        <v>1.1958271293249999E-3</v>
      </c>
      <c r="G8" s="72">
        <f>7286933.66/K8</f>
        <v>0.67392984997830752</v>
      </c>
      <c r="H8" s="72">
        <f>(1233358.81+58021.5)/K8</f>
        <v>0.11943291639397746</v>
      </c>
      <c r="I8" s="72">
        <f>462426.37/K8</f>
        <v>4.276736261108123E-2</v>
      </c>
      <c r="J8" s="72">
        <f>5827.77/K8</f>
        <v>5.3897954133537169E-4</v>
      </c>
      <c r="K8" s="79">
        <v>10812599.65</v>
      </c>
      <c r="L8" s="7"/>
    </row>
    <row r="9" spans="2:12" x14ac:dyDescent="0.25">
      <c r="B9" s="78">
        <v>2018</v>
      </c>
      <c r="C9" s="72">
        <v>0.12107902288445048</v>
      </c>
      <c r="D9" s="72">
        <v>7.6861375430302111E-4</v>
      </c>
      <c r="E9" s="72">
        <v>3.6887069702334505E-2</v>
      </c>
      <c r="F9" s="72">
        <v>1.1449247532473977E-3</v>
      </c>
      <c r="G9" s="72">
        <v>0.6784532711920952</v>
      </c>
      <c r="H9" s="72">
        <v>0.11806596346096707</v>
      </c>
      <c r="I9" s="72">
        <v>4.3002919481084083E-2</v>
      </c>
      <c r="J9" s="72">
        <v>6.0131394911794474E-4</v>
      </c>
      <c r="K9" s="79">
        <v>11293318.59</v>
      </c>
      <c r="L9" s="7"/>
    </row>
    <row r="10" spans="2:12" x14ac:dyDescent="0.25">
      <c r="B10" s="78">
        <v>2019</v>
      </c>
      <c r="C10" s="72">
        <v>0.1249</v>
      </c>
      <c r="D10" s="72">
        <v>8.0000000000000004E-4</v>
      </c>
      <c r="E10" s="72">
        <v>3.9199999999999999E-2</v>
      </c>
      <c r="F10" s="72">
        <v>1.1999999999999999E-3</v>
      </c>
      <c r="G10" s="72">
        <v>0.66590000000000005</v>
      </c>
      <c r="H10" s="72">
        <v>0.1162</v>
      </c>
      <c r="I10" s="72">
        <v>5.11E-2</v>
      </c>
      <c r="J10" s="72">
        <v>6.9999999999999999E-4</v>
      </c>
      <c r="K10" s="79">
        <v>10875013.029999999</v>
      </c>
      <c r="L10" s="7"/>
    </row>
    <row r="11" spans="2:12" x14ac:dyDescent="0.25">
      <c r="B11" s="78">
        <v>2020</v>
      </c>
      <c r="C11" s="72">
        <v>0.12239999999999999</v>
      </c>
      <c r="D11" s="72">
        <v>6.9999999999999999E-4</v>
      </c>
      <c r="E11" s="72">
        <v>4.48E-2</v>
      </c>
      <c r="F11" s="72">
        <v>1.1000000000000001E-3</v>
      </c>
      <c r="G11" s="72">
        <v>0.66039999999999999</v>
      </c>
      <c r="H11" s="72">
        <v>0.11650000000000001</v>
      </c>
      <c r="I11" s="72">
        <v>5.3499999999999999E-2</v>
      </c>
      <c r="J11" s="72">
        <v>5.9999999999999995E-4</v>
      </c>
      <c r="K11" s="79">
        <v>11453827.27</v>
      </c>
      <c r="L11" s="7"/>
    </row>
    <row r="12" spans="2:12" x14ac:dyDescent="0.25">
      <c r="B12" s="78">
        <v>2021</v>
      </c>
      <c r="C12" s="72" t="s">
        <v>77</v>
      </c>
      <c r="D12" s="72" t="s">
        <v>77</v>
      </c>
      <c r="E12" s="72" t="s">
        <v>77</v>
      </c>
      <c r="F12" s="72" t="s">
        <v>77</v>
      </c>
      <c r="G12" s="72" t="s">
        <v>77</v>
      </c>
      <c r="H12" s="72" t="s">
        <v>77</v>
      </c>
      <c r="I12" s="72" t="s">
        <v>77</v>
      </c>
      <c r="J12" s="72" t="s">
        <v>77</v>
      </c>
      <c r="K12" s="79">
        <f>66700000-(SUM(K7:K11))</f>
        <v>11476628.460000008</v>
      </c>
      <c r="L12" s="7"/>
    </row>
    <row r="13" spans="2:12" x14ac:dyDescent="0.25">
      <c r="B13" s="78">
        <v>2022</v>
      </c>
      <c r="C13" s="72">
        <v>0.11899999999999999</v>
      </c>
      <c r="D13" s="72">
        <v>8.9999999999999998E-4</v>
      </c>
      <c r="E13" s="72">
        <v>4.87E-2</v>
      </c>
      <c r="F13" s="72" t="s">
        <v>52</v>
      </c>
      <c r="G13" s="72">
        <v>0.67930000000000001</v>
      </c>
      <c r="H13" s="72">
        <v>0.123</v>
      </c>
      <c r="I13" s="72">
        <v>2.8500000000000001E-2</v>
      </c>
      <c r="J13" s="72">
        <v>5.9999999999999995E-4</v>
      </c>
      <c r="K13" s="79">
        <v>11868847.68</v>
      </c>
      <c r="L13" s="7"/>
    </row>
    <row r="14" spans="2:12" ht="15.75" thickBot="1" x14ac:dyDescent="0.3">
      <c r="B14" s="80">
        <v>2023</v>
      </c>
      <c r="C14" s="81">
        <v>0.12520000000000001</v>
      </c>
      <c r="D14" s="81">
        <v>8.9999999999999998E-4</v>
      </c>
      <c r="E14" s="81">
        <v>3.6200000000000003E-2</v>
      </c>
      <c r="F14" s="81" t="s">
        <v>52</v>
      </c>
      <c r="G14" s="82">
        <v>0.68140000000000001</v>
      </c>
      <c r="H14" s="68">
        <v>0.1268</v>
      </c>
      <c r="I14" s="51">
        <v>2.8799999999999999E-2</v>
      </c>
      <c r="J14" s="68">
        <v>5.9999999999999995E-4</v>
      </c>
      <c r="K14" s="83">
        <v>11311061.42</v>
      </c>
    </row>
    <row r="16" spans="2:12" ht="15.75" thickBot="1" x14ac:dyDescent="0.3"/>
    <row r="17" spans="2:11" ht="15.75" thickBot="1" x14ac:dyDescent="0.3">
      <c r="C17" s="160" t="s">
        <v>0</v>
      </c>
      <c r="D17" s="161"/>
      <c r="E17" s="161"/>
      <c r="F17" s="161"/>
      <c r="G17" s="161"/>
      <c r="H17" s="161"/>
      <c r="I17" s="162"/>
      <c r="J17" s="97"/>
      <c r="K17" s="97"/>
    </row>
    <row r="18" spans="2:11" ht="60.75" thickBot="1" x14ac:dyDescent="0.3">
      <c r="C18" s="84" t="s">
        <v>65</v>
      </c>
      <c r="D18" s="45" t="s">
        <v>66</v>
      </c>
      <c r="E18" s="44" t="s">
        <v>67</v>
      </c>
      <c r="F18" s="44" t="s">
        <v>55</v>
      </c>
      <c r="G18" s="44" t="s">
        <v>56</v>
      </c>
      <c r="H18" s="44" t="s">
        <v>57</v>
      </c>
      <c r="I18" s="85" t="s">
        <v>24</v>
      </c>
      <c r="K18" s="97"/>
    </row>
    <row r="19" spans="2:11" ht="15.75" thickBot="1" x14ac:dyDescent="0.3">
      <c r="B19" s="123" t="s">
        <v>54</v>
      </c>
      <c r="C19" s="124"/>
      <c r="D19" s="124"/>
      <c r="E19" s="124"/>
      <c r="F19" s="124"/>
      <c r="G19" s="124"/>
      <c r="H19" s="124"/>
      <c r="I19" s="125"/>
      <c r="K19" s="97"/>
    </row>
    <row r="20" spans="2:11" x14ac:dyDescent="0.25">
      <c r="B20" s="86">
        <v>2015</v>
      </c>
      <c r="C20" s="87">
        <f>2147704/I20</f>
        <v>0.21278125697541672</v>
      </c>
      <c r="D20" s="87">
        <f>25801/I20</f>
        <v>2.5562038396458389E-3</v>
      </c>
      <c r="E20" s="87">
        <f>85449/I20</f>
        <v>8.4657595400913638E-3</v>
      </c>
      <c r="F20" s="87">
        <f>1370409/I20</f>
        <v>0.13577166573718905</v>
      </c>
      <c r="G20" s="87">
        <f>6289999/I20</f>
        <v>0.62317427987940333</v>
      </c>
      <c r="H20" s="88">
        <f>174121/I20</f>
        <v>1.7250834028253677E-2</v>
      </c>
      <c r="I20" s="89">
        <v>10093483</v>
      </c>
      <c r="K20" s="97"/>
    </row>
    <row r="21" spans="2:11" x14ac:dyDescent="0.25">
      <c r="B21" s="78">
        <v>2016</v>
      </c>
      <c r="C21" s="42">
        <f>2089353/I21</f>
        <v>0.22063297342830318</v>
      </c>
      <c r="D21" s="42">
        <f>23396/I21</f>
        <v>2.4705873283875825E-3</v>
      </c>
      <c r="E21" s="42">
        <f>64563/I21</f>
        <v>6.8177692632367714E-3</v>
      </c>
      <c r="F21" s="42">
        <f>1410771/I21</f>
        <v>0.14897559223186349</v>
      </c>
      <c r="G21" s="42">
        <f>5732677/I21</f>
        <v>0.60536327380487875</v>
      </c>
      <c r="H21" s="42">
        <f>150053/I21</f>
        <v>1.5845402649450419E-2</v>
      </c>
      <c r="I21" s="90">
        <v>9469813</v>
      </c>
      <c r="K21" s="1"/>
    </row>
    <row r="22" spans="2:11" x14ac:dyDescent="0.25">
      <c r="B22" s="78">
        <v>2017</v>
      </c>
      <c r="C22" s="42">
        <f>2130901/I22</f>
        <v>0.24784278942282048</v>
      </c>
      <c r="D22" s="42">
        <f>23540/I22</f>
        <v>2.7379119269328768E-3</v>
      </c>
      <c r="E22" s="42">
        <f>52207/I22</f>
        <v>6.0721396758447194E-3</v>
      </c>
      <c r="F22" s="42">
        <f>1166002/I22</f>
        <v>0.135616430867782</v>
      </c>
      <c r="G22" s="42">
        <f>5090596/I22</f>
        <v>0.59208171213240424</v>
      </c>
      <c r="H22" s="42">
        <f>134547/I22</f>
        <v>1.564901597421571E-2</v>
      </c>
      <c r="I22" s="90">
        <v>8597793</v>
      </c>
      <c r="K22" s="1"/>
    </row>
    <row r="23" spans="2:11" x14ac:dyDescent="0.25">
      <c r="B23" s="78">
        <v>2018</v>
      </c>
      <c r="C23" s="32">
        <f>2197993/I23</f>
        <v>0.23581009824021595</v>
      </c>
      <c r="D23" s="32">
        <f>25041/I23</f>
        <v>2.6865056758748765E-3</v>
      </c>
      <c r="E23" s="32">
        <f>42499/I23</f>
        <v>4.5594746503337079E-3</v>
      </c>
      <c r="F23" s="32">
        <f>1343034/I23</f>
        <v>0.14408643679936659</v>
      </c>
      <c r="G23" s="32">
        <f>5595659/I23</f>
        <v>0.60032625149795682</v>
      </c>
      <c r="H23" s="32">
        <f>116804/I23</f>
        <v>1.253123313625211E-2</v>
      </c>
      <c r="I23" s="90">
        <v>9321030</v>
      </c>
      <c r="K23" s="1"/>
    </row>
    <row r="24" spans="2:11" x14ac:dyDescent="0.25">
      <c r="B24" s="78">
        <v>2019</v>
      </c>
      <c r="C24" s="42">
        <v>0.24099999999999999</v>
      </c>
      <c r="D24" s="42">
        <v>3.0000000000000001E-3</v>
      </c>
      <c r="E24" s="42">
        <v>6.0000000000000001E-3</v>
      </c>
      <c r="F24" s="42">
        <v>0.14599999999999999</v>
      </c>
      <c r="G24" s="42">
        <v>0.58699999999999997</v>
      </c>
      <c r="H24" s="42">
        <v>1.7000000000000001E-2</v>
      </c>
      <c r="I24" s="90">
        <v>8726352</v>
      </c>
      <c r="K24" s="1"/>
    </row>
    <row r="25" spans="2:11" ht="15.75" thickBot="1" x14ac:dyDescent="0.3">
      <c r="B25" s="80">
        <v>2020</v>
      </c>
      <c r="C25" s="51">
        <v>0.23200000000000001</v>
      </c>
      <c r="D25" s="51">
        <v>3.0000000000000001E-3</v>
      </c>
      <c r="E25" s="51">
        <v>8.9999999999999993E-3</v>
      </c>
      <c r="F25" s="51">
        <v>0.13800000000000001</v>
      </c>
      <c r="G25" s="51">
        <v>0.60299999999999998</v>
      </c>
      <c r="H25" s="51">
        <v>1.4999999999999999E-2</v>
      </c>
      <c r="I25" s="91">
        <v>9176833</v>
      </c>
      <c r="K25" s="1"/>
    </row>
    <row r="27" spans="2:11" ht="15.75" thickBot="1" x14ac:dyDescent="0.3"/>
    <row r="28" spans="2:11" ht="15.75" thickBot="1" x14ac:dyDescent="0.3">
      <c r="C28" s="160" t="s">
        <v>0</v>
      </c>
      <c r="D28" s="161"/>
      <c r="E28" s="161"/>
      <c r="F28" s="162"/>
    </row>
    <row r="29" spans="2:11" ht="30.75" thickBot="1" x14ac:dyDescent="0.3">
      <c r="B29" s="69"/>
      <c r="C29" s="84" t="s">
        <v>63</v>
      </c>
      <c r="D29" s="45" t="s">
        <v>61</v>
      </c>
      <c r="E29" s="45" t="s">
        <v>62</v>
      </c>
      <c r="F29" s="92" t="s">
        <v>59</v>
      </c>
      <c r="K29" s="1"/>
    </row>
    <row r="30" spans="2:11" ht="15.75" thickBot="1" x14ac:dyDescent="0.3">
      <c r="B30" s="123" t="s">
        <v>58</v>
      </c>
      <c r="C30" s="124"/>
      <c r="D30" s="124"/>
      <c r="E30" s="124"/>
      <c r="F30" s="126"/>
      <c r="K30" s="1"/>
    </row>
    <row r="31" spans="2:11" x14ac:dyDescent="0.25">
      <c r="B31" s="86">
        <v>2013</v>
      </c>
      <c r="C31" s="93">
        <v>0.60970000000000002</v>
      </c>
      <c r="D31" s="93">
        <v>0.29220000000000002</v>
      </c>
      <c r="E31" s="94">
        <v>4.5999999999999999E-2</v>
      </c>
      <c r="F31" s="95">
        <v>5.21E-2</v>
      </c>
      <c r="K31" s="1"/>
    </row>
    <row r="32" spans="2:11" x14ac:dyDescent="0.25">
      <c r="B32" s="78">
        <v>2014</v>
      </c>
      <c r="C32" s="75">
        <v>0.56399999999999995</v>
      </c>
      <c r="D32" s="75">
        <v>0.29220000000000002</v>
      </c>
      <c r="E32" s="75">
        <v>3.9300000000000002E-2</v>
      </c>
      <c r="F32" s="96">
        <v>6.6000000000000003E-2</v>
      </c>
      <c r="K32" s="1"/>
    </row>
    <row r="33" spans="2:11" x14ac:dyDescent="0.25">
      <c r="B33" s="76">
        <v>2015</v>
      </c>
      <c r="C33" s="75">
        <v>0.63080000000000003</v>
      </c>
      <c r="D33" s="75">
        <v>0.27529999999999999</v>
      </c>
      <c r="E33" s="75">
        <v>4.0399999999999998E-2</v>
      </c>
      <c r="F33" s="96">
        <v>5.3499999999999999E-2</v>
      </c>
      <c r="K33" s="1"/>
    </row>
    <row r="34" spans="2:11" x14ac:dyDescent="0.25">
      <c r="B34" s="78">
        <v>2016</v>
      </c>
      <c r="C34" s="75">
        <v>0.45579999999999998</v>
      </c>
      <c r="D34" s="75">
        <v>0.47039999999999998</v>
      </c>
      <c r="E34" s="75">
        <v>2.75E-2</v>
      </c>
      <c r="F34" s="96">
        <v>4.6300000000000001E-2</v>
      </c>
      <c r="K34" s="1"/>
    </row>
    <row r="35" spans="2:11" x14ac:dyDescent="0.25">
      <c r="B35" s="78">
        <v>2017</v>
      </c>
      <c r="C35" s="75">
        <v>0.41349999999999998</v>
      </c>
      <c r="D35" s="75">
        <v>0.48080000000000001</v>
      </c>
      <c r="E35" s="75">
        <v>2.4400000000000002E-2</v>
      </c>
      <c r="F35" s="96">
        <v>8.1299999999999997E-2</v>
      </c>
      <c r="K35" s="1"/>
    </row>
    <row r="36" spans="2:11" x14ac:dyDescent="0.25">
      <c r="B36" s="78">
        <v>2018</v>
      </c>
      <c r="C36" s="75">
        <v>0.37</v>
      </c>
      <c r="D36" s="75">
        <v>0.52</v>
      </c>
      <c r="E36" s="75">
        <v>0.02</v>
      </c>
      <c r="F36" s="127">
        <v>0</v>
      </c>
      <c r="K36" s="1"/>
    </row>
    <row r="37" spans="2:11" x14ac:dyDescent="0.25">
      <c r="B37" s="78">
        <v>2019</v>
      </c>
      <c r="C37" s="75">
        <v>0.27</v>
      </c>
      <c r="D37" s="75">
        <v>0.6</v>
      </c>
      <c r="E37" s="75">
        <v>0.01</v>
      </c>
      <c r="F37" s="96">
        <v>0.12</v>
      </c>
      <c r="K37" s="1"/>
    </row>
    <row r="38" spans="2:11" x14ac:dyDescent="0.25">
      <c r="B38" s="78">
        <v>2020</v>
      </c>
      <c r="C38" s="75">
        <v>0.3</v>
      </c>
      <c r="D38" s="75">
        <v>0.56999999999999995</v>
      </c>
      <c r="E38" s="75">
        <v>0.01</v>
      </c>
      <c r="F38" s="96">
        <v>0.12</v>
      </c>
      <c r="K38" s="1"/>
    </row>
    <row r="39" spans="2:11" ht="15.75" thickBot="1" x14ac:dyDescent="0.3">
      <c r="B39" s="80">
        <v>2021</v>
      </c>
      <c r="C39" s="128">
        <v>0.39</v>
      </c>
      <c r="D39" s="128">
        <v>0.5</v>
      </c>
      <c r="E39" s="128">
        <v>0.01</v>
      </c>
      <c r="F39" s="129">
        <v>0.1</v>
      </c>
      <c r="K39" s="1"/>
    </row>
    <row r="40" spans="2:11" ht="15.75" thickBot="1" x14ac:dyDescent="0.3"/>
    <row r="41" spans="2:11" x14ac:dyDescent="0.25">
      <c r="C41" s="163" t="s">
        <v>0</v>
      </c>
      <c r="D41" s="164"/>
      <c r="E41" s="164"/>
      <c r="F41" s="164"/>
      <c r="G41" s="164"/>
      <c r="H41" s="165"/>
    </row>
    <row r="42" spans="2:11" ht="30.75" thickBot="1" x14ac:dyDescent="0.3">
      <c r="C42" s="101" t="s">
        <v>63</v>
      </c>
      <c r="D42" s="69" t="s">
        <v>70</v>
      </c>
      <c r="E42" s="69" t="s">
        <v>62</v>
      </c>
      <c r="F42" s="69" t="s">
        <v>59</v>
      </c>
      <c r="G42" s="69" t="s">
        <v>20</v>
      </c>
      <c r="H42" s="102" t="s">
        <v>71</v>
      </c>
    </row>
    <row r="43" spans="2:11" ht="15.75" thickBot="1" x14ac:dyDescent="0.3">
      <c r="B43" s="123" t="s">
        <v>69</v>
      </c>
      <c r="C43" s="124"/>
      <c r="D43" s="124"/>
      <c r="E43" s="124"/>
      <c r="F43" s="124"/>
      <c r="G43" s="130"/>
      <c r="H43" s="131"/>
    </row>
    <row r="44" spans="2:11" x14ac:dyDescent="0.25">
      <c r="B44" s="132">
        <v>2011</v>
      </c>
      <c r="C44" s="133">
        <v>0.61</v>
      </c>
      <c r="D44" s="133">
        <v>0.2</v>
      </c>
      <c r="E44" s="133">
        <v>0.03</v>
      </c>
      <c r="F44" s="133">
        <v>0.03</v>
      </c>
      <c r="G44" s="133">
        <v>0.13</v>
      </c>
      <c r="H44" s="134" t="s">
        <v>50</v>
      </c>
      <c r="I44" s="98"/>
    </row>
    <row r="45" spans="2:11" x14ac:dyDescent="0.25">
      <c r="B45" s="103">
        <v>2012</v>
      </c>
      <c r="C45" s="42">
        <v>0.36470000000000002</v>
      </c>
      <c r="D45" s="42">
        <v>0.39300000000000002</v>
      </c>
      <c r="E45" s="42">
        <v>9.4000000000000004E-3</v>
      </c>
      <c r="F45" s="42">
        <v>4.9700000000000001E-2</v>
      </c>
      <c r="G45" s="42">
        <v>0.1832</v>
      </c>
      <c r="H45" s="52" t="s">
        <v>50</v>
      </c>
      <c r="I45" s="98"/>
    </row>
    <row r="46" spans="2:11" x14ac:dyDescent="0.25">
      <c r="B46" s="103">
        <v>2013</v>
      </c>
      <c r="C46" s="42">
        <v>0.37490000000000001</v>
      </c>
      <c r="D46" s="42">
        <v>0.39129999999999998</v>
      </c>
      <c r="E46" s="42">
        <v>8.5000000000000006E-3</v>
      </c>
      <c r="F46" s="99" t="s">
        <v>50</v>
      </c>
      <c r="G46" s="42">
        <v>0.13489999999999999</v>
      </c>
      <c r="H46" s="60">
        <v>9.0399999999999994E-2</v>
      </c>
      <c r="I46" s="98"/>
    </row>
    <row r="47" spans="2:11" x14ac:dyDescent="0.25">
      <c r="B47" s="103">
        <v>2014</v>
      </c>
      <c r="C47" s="99" t="s">
        <v>50</v>
      </c>
      <c r="D47" s="99" t="s">
        <v>50</v>
      </c>
      <c r="E47" s="99" t="s">
        <v>50</v>
      </c>
      <c r="F47" s="99" t="s">
        <v>50</v>
      </c>
      <c r="G47" s="99" t="s">
        <v>50</v>
      </c>
      <c r="H47" s="52" t="s">
        <v>50</v>
      </c>
      <c r="I47" s="98"/>
    </row>
    <row r="48" spans="2:11" x14ac:dyDescent="0.25">
      <c r="B48" s="103">
        <v>2015</v>
      </c>
      <c r="C48" s="99" t="s">
        <v>50</v>
      </c>
      <c r="D48" s="99" t="s">
        <v>50</v>
      </c>
      <c r="E48" s="99" t="s">
        <v>50</v>
      </c>
      <c r="F48" s="99" t="s">
        <v>50</v>
      </c>
      <c r="G48" s="99" t="s">
        <v>50</v>
      </c>
      <c r="H48" s="52" t="s">
        <v>50</v>
      </c>
      <c r="I48" s="98"/>
    </row>
    <row r="49" spans="2:9" x14ac:dyDescent="0.25">
      <c r="B49" s="104">
        <v>2016</v>
      </c>
      <c r="C49" s="42">
        <f>998331/2415361.14</f>
        <v>0.41332576875025817</v>
      </c>
      <c r="D49" s="42">
        <f>1000741/2415361.14</f>
        <v>0.41432354914843084</v>
      </c>
      <c r="E49" s="42">
        <f>20990/2415361.14</f>
        <v>8.6902118496449757E-3</v>
      </c>
      <c r="F49" s="42">
        <f>118100/2415361.14</f>
        <v>4.889537967808822E-2</v>
      </c>
      <c r="G49" s="42">
        <f>277200/2415361.14</f>
        <v>0.11476544662799369</v>
      </c>
      <c r="H49" s="52" t="s">
        <v>50</v>
      </c>
      <c r="I49" s="98"/>
    </row>
    <row r="50" spans="2:9" x14ac:dyDescent="0.25">
      <c r="B50" s="104">
        <v>2017</v>
      </c>
      <c r="C50" s="42">
        <f>1004173/2988653.25</f>
        <v>0.33599515099317728</v>
      </c>
      <c r="D50" s="42">
        <f>1553566.25/2988653.25</f>
        <v>0.51982151157883572</v>
      </c>
      <c r="E50" s="42">
        <f>24651/2988653.25</f>
        <v>8.248196742127914E-3</v>
      </c>
      <c r="F50" s="42">
        <f>129063/2988653.25</f>
        <v>4.3184333947071309E-2</v>
      </c>
      <c r="G50" s="42">
        <f>277200/2988653.25</f>
        <v>9.2750806738787786E-2</v>
      </c>
      <c r="H50" s="52" t="s">
        <v>50</v>
      </c>
      <c r="I50" s="98"/>
    </row>
    <row r="51" spans="2:9" x14ac:dyDescent="0.25">
      <c r="B51" s="104">
        <v>2018</v>
      </c>
      <c r="C51" s="42">
        <f>999801/2728860</f>
        <v>0.36638046656845713</v>
      </c>
      <c r="D51" s="42">
        <f>1295198/2728860</f>
        <v>0.47462969884860345</v>
      </c>
      <c r="E51" s="42">
        <f>21317/2728860</f>
        <v>7.8116869315391774E-3</v>
      </c>
      <c r="F51" s="42">
        <f>135344/2728860</f>
        <v>4.9597267723518246E-2</v>
      </c>
      <c r="G51" s="42">
        <f>277200/2728860</f>
        <v>0.10158087992788198</v>
      </c>
      <c r="H51" s="52" t="s">
        <v>52</v>
      </c>
    </row>
    <row r="52" spans="2:9" x14ac:dyDescent="0.25">
      <c r="B52" s="104">
        <v>2019</v>
      </c>
      <c r="C52" s="42">
        <v>0.34849999999999998</v>
      </c>
      <c r="D52" s="42">
        <v>0.45910000000000001</v>
      </c>
      <c r="E52" s="42">
        <v>9.7999999999999997E-3</v>
      </c>
      <c r="F52" s="42">
        <v>4.6199999999999998E-2</v>
      </c>
      <c r="G52" s="42">
        <v>0.1363</v>
      </c>
      <c r="H52" s="52" t="s">
        <v>52</v>
      </c>
    </row>
    <row r="53" spans="2:9" x14ac:dyDescent="0.25">
      <c r="B53" s="104">
        <v>2020</v>
      </c>
      <c r="C53" s="42">
        <v>0.42109999999999997</v>
      </c>
      <c r="D53" s="42">
        <v>0.43609999999999999</v>
      </c>
      <c r="E53" s="42" t="s">
        <v>52</v>
      </c>
      <c r="F53" s="42">
        <v>5.3100000000000001E-2</v>
      </c>
      <c r="G53" s="42" t="s">
        <v>52</v>
      </c>
      <c r="H53" s="60">
        <v>8.9700000000000002E-2</v>
      </c>
    </row>
    <row r="54" spans="2:9" x14ac:dyDescent="0.25">
      <c r="B54" s="104">
        <v>2021</v>
      </c>
      <c r="C54" s="42">
        <f>1154028/3132379</f>
        <v>0.36841901953754636</v>
      </c>
      <c r="D54" s="42">
        <f>1144212/3132379</f>
        <v>0.36528529912887298</v>
      </c>
      <c r="E54" s="42">
        <f>88576/3132379</f>
        <v>2.8277548789594108E-2</v>
      </c>
      <c r="F54" s="42">
        <f>137229/3132379</f>
        <v>4.3809832718199174E-2</v>
      </c>
      <c r="G54" s="42" t="s">
        <v>52</v>
      </c>
      <c r="H54" s="66">
        <f>608333/3132379</f>
        <v>0.19420798057961697</v>
      </c>
    </row>
    <row r="55" spans="2:9" ht="15.75" thickBot="1" x14ac:dyDescent="0.3">
      <c r="B55" s="105">
        <v>2022</v>
      </c>
      <c r="C55" s="68">
        <f>1277621/3237617</f>
        <v>0.39461770802414242</v>
      </c>
      <c r="D55" s="68">
        <f>1796600/3237617</f>
        <v>0.55491430888829651</v>
      </c>
      <c r="E55" s="68" t="s">
        <v>52</v>
      </c>
      <c r="F55" s="68">
        <f>163396/3237617</f>
        <v>5.0467983087561008E-2</v>
      </c>
      <c r="G55" s="68" t="s">
        <v>52</v>
      </c>
      <c r="H55" s="106" t="s">
        <v>52</v>
      </c>
    </row>
  </sheetData>
  <mergeCells count="4">
    <mergeCell ref="C1:K1"/>
    <mergeCell ref="C17:I17"/>
    <mergeCell ref="C28:F28"/>
    <mergeCell ref="C41:H4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Métadonnées</vt:lpstr>
      <vt:lpstr>Avertissement</vt:lpstr>
      <vt:lpstr>Répartition redevances - Agence</vt:lpstr>
      <vt:lpstr>Répartition redevances - Office</vt:lpstr>
    </vt:vector>
  </TitlesOfParts>
  <Company>Onema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VALIMAHAMED Anar</dc:creator>
  <cp:lastModifiedBy>CANN Caroline</cp:lastModifiedBy>
  <dcterms:created xsi:type="dcterms:W3CDTF">2019-10-28T15:18:06Z</dcterms:created>
  <dcterms:modified xsi:type="dcterms:W3CDTF">2024-09-09T12:53:53Z</dcterms:modified>
</cp:coreProperties>
</file>